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5480" windowHeight="8040" activeTab="5"/>
  </bookViews>
  <sheets>
    <sheet name="TRAFO_GÜCÜ" sheetId="1" r:id="rId1"/>
    <sheet name="KOMPANZASYON" sheetId="2" r:id="rId2"/>
    <sheet name="KISADEVRE_IEC" sheetId="3" r:id="rId3"/>
    <sheet name="KISADEVRE_PU" sheetId="4" r:id="rId4"/>
    <sheet name="KESİCİ" sheetId="5" r:id="rId5"/>
    <sheet name="ÖLÇÜ TRAFOLARI" sheetId="6" r:id="rId6"/>
    <sheet name="TGK" sheetId="7" r:id="rId7"/>
  </sheets>
  <definedNames>
    <definedName name="AKIMTRAFO">'TGK'!$AL$2:$AL$33</definedName>
    <definedName name="ARIZA">'TGK'!$X$1:$Y$1</definedName>
    <definedName name="COSBİR">'TGK'!$D$4:$D$50</definedName>
    <definedName name="COSİKİ">'TGK'!$F$1:$J$1</definedName>
    <definedName name="DAMAR">'TGK'!$P$13:$Q$14</definedName>
    <definedName name="DAMARKESİT">'TGK'!$P$13:$Q$14</definedName>
    <definedName name="DMR">'TGK'!$P$13:$Q$14</definedName>
    <definedName name="DMRKST">'TGK'!$AD$2:$AD$3</definedName>
    <definedName name="HATYAPISI">'TGK'!$T$2:$T$7</definedName>
    <definedName name="HAVAİ">'TGK'!$P$9:$P$10</definedName>
    <definedName name="HAVAİHAT1">'TGK'!$L$3:$L$27</definedName>
    <definedName name="İLETKEN">'TGK'!$L$3:$L$27</definedName>
    <definedName name="KABLOKESİDİ">'TGK'!$W$2:$W$24</definedName>
    <definedName name="KABLOKESİT">'TGK'!$W$2:$W$24</definedName>
    <definedName name="KABLOTERTİP">'TGK'!$AA$1:$AB$1</definedName>
    <definedName name="KBL">'TGK'!$X$1:$AB$1</definedName>
    <definedName name="MCM">'TGK'!$AH$2:$AH$14</definedName>
    <definedName name="ÖK">'TGK'!$AI$17:$AI$18</definedName>
    <definedName name="ökk">'TGK'!$AI$17:$AI$19</definedName>
    <definedName name="_xlnm.Print_Area" localSheetId="0">'TRAFO_GÜCÜ'!$A$1:$V$33</definedName>
  </definedNames>
  <calcPr fullCalcOnLoad="1"/>
</workbook>
</file>

<file path=xl/sharedStrings.xml><?xml version="1.0" encoding="utf-8"?>
<sst xmlns="http://schemas.openxmlformats.org/spreadsheetml/2006/main" count="1580" uniqueCount="493">
  <si>
    <t>TRAFO GÜCÜ HESABI</t>
  </si>
  <si>
    <t>kW</t>
  </si>
  <si>
    <t>SIRA NO</t>
  </si>
  <si>
    <t>PANO ADI</t>
  </si>
  <si>
    <t>PANO GÜCÜ (kW)</t>
  </si>
  <si>
    <t>AÇIKLAMA</t>
  </si>
  <si>
    <t>Trafo gücü</t>
  </si>
  <si>
    <t>=</t>
  </si>
  <si>
    <t>KURULU GÜÇ(Pk)=</t>
  </si>
  <si>
    <t>Pk</t>
  </si>
  <si>
    <t>×</t>
  </si>
  <si>
    <t>k</t>
  </si>
  <si>
    <t>cosQ</t>
  </si>
  <si>
    <t>cosQ:</t>
  </si>
  <si>
    <t>Kayıp faktörü:</t>
  </si>
  <si>
    <t>Talep faktörü(k):</t>
  </si>
  <si>
    <t>TRAFO GÜCÜ=</t>
  </si>
  <si>
    <t>1 ADET</t>
  </si>
  <si>
    <r>
      <rPr>
        <b/>
        <sz val="14"/>
        <color indexed="8"/>
        <rFont val="Calibri"/>
        <family val="2"/>
      </rPr>
      <t>KVA</t>
    </r>
    <r>
      <rPr>
        <b/>
        <sz val="11"/>
        <color indexed="8"/>
        <rFont val="Calibri"/>
        <family val="2"/>
      </rPr>
      <t xml:space="preserve"> YAĞLI TİP DAĞITIM TRAFOSU SEÇİLMİŞTİR.</t>
    </r>
  </si>
  <si>
    <t>KOMPANZASYON HESABI</t>
  </si>
  <si>
    <t>kVA</t>
  </si>
  <si>
    <t>Eş zamanlılık katsayısı</t>
  </si>
  <si>
    <t>Kurulu güç=</t>
  </si>
  <si>
    <t>Trafo gücü=</t>
  </si>
  <si>
    <t>Eş zamanlılık katsayısı=</t>
  </si>
  <si>
    <t>φ1=</t>
  </si>
  <si>
    <t>φ2=</t>
  </si>
  <si>
    <t>k=</t>
  </si>
  <si>
    <t>-</t>
  </si>
  <si>
    <t>400 V sistem için</t>
  </si>
  <si>
    <t>Kurulu güç</t>
  </si>
  <si>
    <t>Kondansatör gücü=</t>
  </si>
  <si>
    <t>kVAr</t>
  </si>
  <si>
    <t>cosf2</t>
  </si>
  <si>
    <t>tgf2</t>
  </si>
  <si>
    <t>cosf1</t>
  </si>
  <si>
    <t>tgf1</t>
  </si>
  <si>
    <t>ŞEBEKE</t>
  </si>
  <si>
    <t>kV</t>
  </si>
  <si>
    <t>MVA</t>
  </si>
  <si>
    <t>U =</t>
  </si>
  <si>
    <t>%</t>
  </si>
  <si>
    <t xml:space="preserve">YG </t>
  </si>
  <si>
    <t>ŞEBEKE KISA DEVRE EMPEDANSI</t>
  </si>
  <si>
    <t>c</t>
  </si>
  <si>
    <t>İNDİRİCİ TRANSFORMATÖR</t>
  </si>
  <si>
    <t>NÖTR DİRENCİ</t>
  </si>
  <si>
    <t>H1</t>
  </si>
  <si>
    <t>H2</t>
  </si>
  <si>
    <t>H3</t>
  </si>
  <si>
    <t>K1</t>
  </si>
  <si>
    <t>K2</t>
  </si>
  <si>
    <t>K3</t>
  </si>
  <si>
    <t>pu</t>
  </si>
  <si>
    <t>HAVAİ</t>
  </si>
  <si>
    <t>FİDER SEÇ:</t>
  </si>
  <si>
    <t>İLETKEN CİNSİ SEÇ:</t>
  </si>
  <si>
    <t>Kesit</t>
  </si>
  <si>
    <t>R</t>
  </si>
  <si>
    <t>X</t>
  </si>
  <si>
    <t>MCM-AWG</t>
  </si>
  <si>
    <t>Ω/km</t>
  </si>
  <si>
    <t>Hattın Yapısı</t>
  </si>
  <si>
    <t>Tek Devre</t>
  </si>
  <si>
    <t>Çift Devre</t>
  </si>
  <si>
    <t>Çelik Toprak Telli</t>
  </si>
  <si>
    <t>Çelik – Al. Toprak Telli</t>
  </si>
  <si>
    <t>Toprak Telsiz</t>
  </si>
  <si>
    <r>
      <t>Tablo-4: Havai hatlarda X</t>
    </r>
    <r>
      <rPr>
        <vertAlign val="sub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/X</t>
    </r>
    <r>
      <rPr>
        <vertAlign val="subscript"/>
        <sz val="11"/>
        <color indexed="8"/>
        <rFont val="Times New Roman"/>
        <family val="1"/>
      </rPr>
      <t xml:space="preserve">1 </t>
    </r>
    <r>
      <rPr>
        <sz val="11"/>
        <color indexed="8"/>
        <rFont val="Times New Roman"/>
        <family val="1"/>
      </rPr>
      <t>oranları</t>
    </r>
  </si>
  <si>
    <t xml:space="preserve"> 33 kV için Çelik-Alüminyum iletken karakteristikleri (Geometrik ortalama uzaklık 210 cm)</t>
  </si>
  <si>
    <t>R=</t>
  </si>
  <si>
    <t>X=</t>
  </si>
  <si>
    <t>YER ALTI</t>
  </si>
  <si>
    <t>L=</t>
  </si>
  <si>
    <t>m</t>
  </si>
  <si>
    <t>R+0,15</t>
  </si>
  <si>
    <t>TEK DEVRE Çelik Toprak Telli</t>
  </si>
  <si>
    <t>TEK DEVRE Çelik – Al. Toprak Telli</t>
  </si>
  <si>
    <t>TEK DEVRE Toprak Telsiz</t>
  </si>
  <si>
    <t>ÇİFT DEVRE Çelik Toprak Telli</t>
  </si>
  <si>
    <t>ÇİFT DEVRE Çelik – Al. Toprak Telli</t>
  </si>
  <si>
    <t>ÇİFT DEVRE Toprak Telsiz</t>
  </si>
  <si>
    <t>HAT YAPISI:</t>
  </si>
  <si>
    <t>L</t>
  </si>
  <si>
    <t>HAVAİ HAT 1</t>
  </si>
  <si>
    <t>HAVAİ HAT 3</t>
  </si>
  <si>
    <t>HAVAİ HAT 2</t>
  </si>
  <si>
    <t>KABLO TERTİBİ:</t>
  </si>
  <si>
    <t>KABLO KESİTİ:</t>
  </si>
  <si>
    <t>1x25/16</t>
  </si>
  <si>
    <t>1x35/16</t>
  </si>
  <si>
    <t>1x50/16</t>
  </si>
  <si>
    <t>1x70/16</t>
  </si>
  <si>
    <t>1x95/16</t>
  </si>
  <si>
    <t>1x120/16</t>
  </si>
  <si>
    <t>1x150/25</t>
  </si>
  <si>
    <t>1x185/25</t>
  </si>
  <si>
    <t>1x240/25</t>
  </si>
  <si>
    <t>1x300/25</t>
  </si>
  <si>
    <t>1x400/35</t>
  </si>
  <si>
    <t>1x500/35</t>
  </si>
  <si>
    <t>1x630/35</t>
  </si>
  <si>
    <t>3x35/16</t>
  </si>
  <si>
    <t>3x50/16</t>
  </si>
  <si>
    <t>3x70/16</t>
  </si>
  <si>
    <t>3x95/16</t>
  </si>
  <si>
    <t>3x120/16</t>
  </si>
  <si>
    <t>3x150/25</t>
  </si>
  <si>
    <t>3x185/25</t>
  </si>
  <si>
    <t>3x240/25</t>
  </si>
  <si>
    <t>3x300/25</t>
  </si>
  <si>
    <t>3x400/35</t>
  </si>
  <si>
    <t>XLPE</t>
  </si>
  <si>
    <t xml:space="preserve">ÜÇ FAZ </t>
  </si>
  <si>
    <t>TEK-FAZ TOPRAK</t>
  </si>
  <si>
    <t>DÜZ TERTİP</t>
  </si>
  <si>
    <t>ÜÇ FAZ KISA DEVRE ARIZA</t>
  </si>
  <si>
    <t>TEK FAZ TOPRAK KISA DEVRE ARIZA</t>
  </si>
  <si>
    <t>DAMAR KESİTİ:</t>
  </si>
  <si>
    <r>
      <t>30 kV- 50 mm</t>
    </r>
    <r>
      <rPr>
        <vertAlign val="superscript"/>
        <sz val="11"/>
        <color indexed="8"/>
        <rFont val="Calibri"/>
        <family val="2"/>
      </rPr>
      <t>2</t>
    </r>
  </si>
  <si>
    <t>30 kV- 300 mm2</t>
  </si>
  <si>
    <t>R0/R1</t>
  </si>
  <si>
    <t>X0/X1</t>
  </si>
  <si>
    <t>H KABLO</t>
  </si>
  <si>
    <t>30 kV- 50 mm2</t>
  </si>
  <si>
    <t>KABLO 1 XLPE</t>
  </si>
  <si>
    <t>KABLO 2 XLPE</t>
  </si>
  <si>
    <t>1~</t>
  </si>
  <si>
    <t>DAĞITIM TRANSFORMATÖRÜ</t>
  </si>
  <si>
    <t>KABLO 3 XLPE</t>
  </si>
  <si>
    <t>ÜÇ FAZ ARIZA İÇİN</t>
  </si>
  <si>
    <t>TEK FAZ TOPRAK ARIZA İÇİN</t>
  </si>
  <si>
    <t>Z=</t>
  </si>
  <si>
    <t>+</t>
  </si>
  <si>
    <t>j</t>
  </si>
  <si>
    <t>1 noktası arıza</t>
  </si>
  <si>
    <t>A</t>
  </si>
  <si>
    <t xml:space="preserve">2 noktası arıza </t>
  </si>
  <si>
    <t>(0,4 tarafından geçen değer)</t>
  </si>
  <si>
    <t>(34,5 tarafından geçen değer)</t>
  </si>
  <si>
    <t>K=</t>
  </si>
  <si>
    <t>K</t>
  </si>
  <si>
    <t>İNDİRİCİ TRAFO</t>
  </si>
  <si>
    <t>SWALLOW</t>
  </si>
  <si>
    <t>SPARROW</t>
  </si>
  <si>
    <t>ROBIONE</t>
  </si>
  <si>
    <t>RAVEN</t>
  </si>
  <si>
    <t>PIGEON</t>
  </si>
  <si>
    <t>PARTRIDGE</t>
  </si>
  <si>
    <t>OSTRICH</t>
  </si>
  <si>
    <t>HAWK</t>
  </si>
  <si>
    <t>DRAKE</t>
  </si>
  <si>
    <t>CONDOR</t>
  </si>
  <si>
    <t>RAIL</t>
  </si>
  <si>
    <t>CARDINAL</t>
  </si>
  <si>
    <t>PHEASANT</t>
  </si>
  <si>
    <t>3 MCM (SWALLOW)</t>
  </si>
  <si>
    <t>2 MCM (SPARROW)</t>
  </si>
  <si>
    <t>1/0 MCM (RAVEN)</t>
  </si>
  <si>
    <t>3/0 MCM (PIGEON)</t>
  </si>
  <si>
    <t>266,8 MCM (PARTRIDGE)</t>
  </si>
  <si>
    <t>300 MCM (OSTRICH)</t>
  </si>
  <si>
    <t>477 MCM  (HAWK)</t>
  </si>
  <si>
    <t>795 MCM (DRAKE)</t>
  </si>
  <si>
    <t>795 MCM (CONDOR)</t>
  </si>
  <si>
    <t>954 MCM (RAIL)</t>
  </si>
  <si>
    <t>954 MCM (CARDINAL)</t>
  </si>
  <si>
    <t>1,272 MCM (PHEASANT)</t>
  </si>
  <si>
    <t>İLETKEN</t>
  </si>
  <si>
    <r>
      <t>DİRENÇ (20</t>
    </r>
    <r>
      <rPr>
        <sz val="11"/>
        <color indexed="8"/>
        <rFont val="Arial Tur"/>
        <family val="0"/>
      </rPr>
      <t>°</t>
    </r>
    <r>
      <rPr>
        <sz val="11"/>
        <color indexed="8"/>
        <rFont val="Calibri"/>
        <family val="2"/>
      </rPr>
      <t>)</t>
    </r>
  </si>
  <si>
    <t>ENDÜKTİF DİRENÇ</t>
  </si>
  <si>
    <t>KABLO 1</t>
  </si>
  <si>
    <t>KABLO 2</t>
  </si>
  <si>
    <t>KABLO KESİT SEÇ:</t>
  </si>
  <si>
    <t>KABLO 3</t>
  </si>
  <si>
    <t>R1=</t>
  </si>
  <si>
    <t>X1=</t>
  </si>
  <si>
    <t>R2=</t>
  </si>
  <si>
    <t>X2=</t>
  </si>
  <si>
    <t>R3=</t>
  </si>
  <si>
    <t>X3=</t>
  </si>
  <si>
    <t>X1</t>
  </si>
  <si>
    <t>R1</t>
  </si>
  <si>
    <t>X2</t>
  </si>
  <si>
    <t>R2</t>
  </si>
  <si>
    <t>X3</t>
  </si>
  <si>
    <t>R3</t>
  </si>
  <si>
    <t>KABLO EMPEDANSI</t>
  </si>
  <si>
    <t>HAVAİ HAT  EMPEDANSI</t>
  </si>
  <si>
    <t>DAMAR KESİT:</t>
  </si>
  <si>
    <t>DAĞITIM TRAFOSU</t>
  </si>
  <si>
    <t>KAPPA</t>
  </si>
  <si>
    <t>Z   =</t>
  </si>
  <si>
    <t>1 AWG</t>
  </si>
  <si>
    <t>2 AWG</t>
  </si>
  <si>
    <t>3 AWG</t>
  </si>
  <si>
    <t>4 AWG</t>
  </si>
  <si>
    <t>5 AWG</t>
  </si>
  <si>
    <t>6 AWG</t>
  </si>
  <si>
    <t>4/0 AWG</t>
  </si>
  <si>
    <t>3/0 AWG</t>
  </si>
  <si>
    <t>2/0 AWG</t>
  </si>
  <si>
    <t>1/0 AWG</t>
  </si>
  <si>
    <t>954 MCM</t>
  </si>
  <si>
    <t>900 MCM</t>
  </si>
  <si>
    <t>874 MCM</t>
  </si>
  <si>
    <t>795 MCM</t>
  </si>
  <si>
    <t>715 MCM</t>
  </si>
  <si>
    <t>666 MCM</t>
  </si>
  <si>
    <t>636 MCM</t>
  </si>
  <si>
    <t>605 MCM</t>
  </si>
  <si>
    <t>556,5 MCM</t>
  </si>
  <si>
    <t>500 MCM</t>
  </si>
  <si>
    <t>477 MCM</t>
  </si>
  <si>
    <t>397,5 MCM</t>
  </si>
  <si>
    <t>336,4 MCM</t>
  </si>
  <si>
    <t>300 MCM</t>
  </si>
  <si>
    <t>266,8 MCM</t>
  </si>
  <si>
    <r>
      <t>S</t>
    </r>
    <r>
      <rPr>
        <vertAlign val="subscript"/>
        <sz val="9"/>
        <color indexed="8"/>
        <rFont val="Calibri"/>
        <family val="2"/>
      </rPr>
      <t>k</t>
    </r>
    <r>
      <rPr>
        <sz val="9"/>
        <color indexed="8"/>
        <rFont val="Calibri"/>
        <family val="2"/>
      </rPr>
      <t>''=</t>
    </r>
  </si>
  <si>
    <r>
      <t>X</t>
    </r>
    <r>
      <rPr>
        <vertAlign val="sub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=</t>
    </r>
  </si>
  <si>
    <r>
      <t>S</t>
    </r>
    <r>
      <rPr>
        <vertAlign val="subscript"/>
        <sz val="9"/>
        <color indexed="8"/>
        <rFont val="Calibri"/>
        <family val="2"/>
      </rPr>
      <t>b</t>
    </r>
  </si>
  <si>
    <r>
      <t>S</t>
    </r>
    <r>
      <rPr>
        <vertAlign val="subscript"/>
        <sz val="9"/>
        <color indexed="8"/>
        <rFont val="Calibri"/>
        <family val="2"/>
      </rPr>
      <t>b</t>
    </r>
    <r>
      <rPr>
        <sz val="9"/>
        <color indexed="8"/>
        <rFont val="Calibri"/>
        <family val="2"/>
      </rPr>
      <t>=</t>
    </r>
  </si>
  <si>
    <r>
      <t>U</t>
    </r>
    <r>
      <rPr>
        <vertAlign val="subscript"/>
        <sz val="9"/>
        <color indexed="8"/>
        <rFont val="Calibri"/>
        <family val="2"/>
      </rPr>
      <t>n</t>
    </r>
    <r>
      <rPr>
        <sz val="9"/>
        <color indexed="8"/>
        <rFont val="Calibri"/>
        <family val="2"/>
      </rPr>
      <t>=</t>
    </r>
  </si>
  <si>
    <r>
      <t>S</t>
    </r>
    <r>
      <rPr>
        <vertAlign val="subscript"/>
        <sz val="9"/>
        <color indexed="8"/>
        <rFont val="Calibri"/>
        <family val="2"/>
      </rPr>
      <t>k</t>
    </r>
    <r>
      <rPr>
        <sz val="9"/>
        <color indexed="8"/>
        <rFont val="Calibri"/>
        <family val="2"/>
      </rPr>
      <t>''</t>
    </r>
  </si>
  <si>
    <r>
      <t>X</t>
    </r>
    <r>
      <rPr>
        <vertAlign val="sub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:</t>
    </r>
  </si>
  <si>
    <r>
      <t>X</t>
    </r>
    <r>
      <rPr>
        <vertAlign val="sub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=X</t>
    </r>
    <r>
      <rPr>
        <vertAlign val="subscript"/>
        <sz val="9"/>
        <color indexed="8"/>
        <rFont val="Calibri"/>
        <family val="2"/>
      </rPr>
      <t>2</t>
    </r>
  </si>
  <si>
    <r>
      <t>X</t>
    </r>
    <r>
      <rPr>
        <vertAlign val="subscript"/>
        <sz val="9"/>
        <color indexed="8"/>
        <rFont val="Calibri"/>
        <family val="2"/>
      </rPr>
      <t>0</t>
    </r>
    <r>
      <rPr>
        <sz val="9"/>
        <color indexed="8"/>
        <rFont val="Calibri"/>
        <family val="2"/>
      </rPr>
      <t>=</t>
    </r>
  </si>
  <si>
    <r>
      <t>X</t>
    </r>
    <r>
      <rPr>
        <vertAlign val="subscript"/>
        <sz val="9"/>
        <color indexed="8"/>
        <rFont val="Calibri"/>
        <family val="2"/>
      </rPr>
      <t>1</t>
    </r>
  </si>
  <si>
    <r>
      <t>X</t>
    </r>
    <r>
      <rPr>
        <vertAlign val="subscript"/>
        <sz val="9"/>
        <color indexed="8"/>
        <rFont val="Calibri"/>
        <family val="2"/>
      </rPr>
      <t>0</t>
    </r>
    <r>
      <rPr>
        <sz val="9"/>
        <color indexed="8"/>
        <rFont val="Calibri"/>
        <family val="2"/>
      </rPr>
      <t>:</t>
    </r>
  </si>
  <si>
    <r>
      <t>X</t>
    </r>
    <r>
      <rPr>
        <vertAlign val="subscript"/>
        <sz val="9"/>
        <color indexed="8"/>
        <rFont val="Calibri"/>
        <family val="2"/>
      </rPr>
      <t>0</t>
    </r>
    <r>
      <rPr>
        <sz val="9"/>
        <color indexed="8"/>
        <rFont val="Calibri"/>
        <family val="2"/>
      </rPr>
      <t>/X</t>
    </r>
    <r>
      <rPr>
        <vertAlign val="sub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=2</t>
    </r>
  </si>
  <si>
    <r>
      <t>R</t>
    </r>
    <r>
      <rPr>
        <vertAlign val="sub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=</t>
    </r>
  </si>
  <si>
    <r>
      <t>X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:</t>
    </r>
  </si>
  <si>
    <r>
      <t>R</t>
    </r>
    <r>
      <rPr>
        <vertAlign val="sub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/X</t>
    </r>
    <r>
      <rPr>
        <vertAlign val="sub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=0,1</t>
    </r>
  </si>
  <si>
    <r>
      <t>R</t>
    </r>
    <r>
      <rPr>
        <vertAlign val="sub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:</t>
    </r>
  </si>
  <si>
    <r>
      <t>I</t>
    </r>
    <r>
      <rPr>
        <vertAlign val="subscript"/>
        <sz val="9"/>
        <color indexed="8"/>
        <rFont val="Times New Roman"/>
        <family val="1"/>
      </rPr>
      <t xml:space="preserve">b   </t>
    </r>
    <r>
      <rPr>
        <sz val="9"/>
        <color indexed="8"/>
        <rFont val="Times New Roman"/>
        <family val="1"/>
      </rPr>
      <t>=</t>
    </r>
  </si>
  <si>
    <r>
      <t>I</t>
    </r>
    <r>
      <rPr>
        <vertAlign val="subscript"/>
        <sz val="9"/>
        <color indexed="8"/>
        <rFont val="Times New Roman"/>
        <family val="1"/>
      </rPr>
      <t>b</t>
    </r>
    <r>
      <rPr>
        <sz val="9"/>
        <color indexed="8"/>
        <rFont val="Times New Roman"/>
        <family val="1"/>
      </rPr>
      <t>=</t>
    </r>
  </si>
  <si>
    <r>
      <t>R</t>
    </r>
    <r>
      <rPr>
        <vertAlign val="sub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=R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=R</t>
    </r>
    <r>
      <rPr>
        <vertAlign val="subscript"/>
        <sz val="9"/>
        <color indexed="8"/>
        <rFont val="Calibri"/>
        <family val="2"/>
      </rPr>
      <t>0</t>
    </r>
  </si>
  <si>
    <r>
      <t>R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:</t>
    </r>
  </si>
  <si>
    <r>
      <t>R</t>
    </r>
    <r>
      <rPr>
        <vertAlign val="subscript"/>
        <sz val="9"/>
        <color indexed="8"/>
        <rFont val="Calibri"/>
        <family val="2"/>
      </rPr>
      <t>0</t>
    </r>
    <r>
      <rPr>
        <sz val="9"/>
        <color indexed="8"/>
        <rFont val="Calibri"/>
        <family val="2"/>
      </rPr>
      <t>:</t>
    </r>
  </si>
  <si>
    <r>
      <t>R</t>
    </r>
    <r>
      <rPr>
        <vertAlign val="subscript"/>
        <sz val="9"/>
        <color indexed="8"/>
        <rFont val="Calibri"/>
        <family val="2"/>
      </rPr>
      <t>k0</t>
    </r>
    <r>
      <rPr>
        <sz val="9"/>
        <color indexed="8"/>
        <rFont val="Calibri"/>
        <family val="2"/>
      </rPr>
      <t>/R</t>
    </r>
    <r>
      <rPr>
        <vertAlign val="subscript"/>
        <sz val="9"/>
        <color indexed="8"/>
        <rFont val="Calibri"/>
        <family val="2"/>
      </rPr>
      <t>k1</t>
    </r>
    <r>
      <rPr>
        <sz val="9"/>
        <color indexed="8"/>
        <rFont val="Calibri"/>
        <family val="2"/>
      </rPr>
      <t>=</t>
    </r>
  </si>
  <si>
    <r>
      <t>u</t>
    </r>
    <r>
      <rPr>
        <vertAlign val="subscript"/>
        <sz val="9"/>
        <color indexed="8"/>
        <rFont val="Calibri"/>
        <family val="2"/>
      </rPr>
      <t>k</t>
    </r>
    <r>
      <rPr>
        <sz val="9"/>
        <color indexed="8"/>
        <rFont val="Calibri"/>
        <family val="2"/>
      </rPr>
      <t>=</t>
    </r>
  </si>
  <si>
    <r>
      <t>X</t>
    </r>
    <r>
      <rPr>
        <vertAlign val="subscript"/>
        <sz val="9"/>
        <color indexed="8"/>
        <rFont val="Calibri"/>
        <family val="2"/>
      </rPr>
      <t>tr1</t>
    </r>
    <r>
      <rPr>
        <sz val="9"/>
        <color indexed="8"/>
        <rFont val="Calibri"/>
        <family val="2"/>
      </rPr>
      <t>=</t>
    </r>
  </si>
  <si>
    <r>
      <t>X</t>
    </r>
    <r>
      <rPr>
        <vertAlign val="subscript"/>
        <sz val="9"/>
        <color indexed="8"/>
        <rFont val="Calibri"/>
        <family val="2"/>
      </rPr>
      <t>tr2</t>
    </r>
    <r>
      <rPr>
        <sz val="9"/>
        <color indexed="8"/>
        <rFont val="Calibri"/>
        <family val="2"/>
      </rPr>
      <t>=</t>
    </r>
  </si>
  <si>
    <r>
      <t>X</t>
    </r>
    <r>
      <rPr>
        <vertAlign val="subscript"/>
        <sz val="9"/>
        <color indexed="8"/>
        <rFont val="Calibri"/>
        <family val="2"/>
      </rPr>
      <t>tr0</t>
    </r>
    <r>
      <rPr>
        <sz val="9"/>
        <color indexed="8"/>
        <rFont val="Calibri"/>
        <family val="2"/>
      </rPr>
      <t>=</t>
    </r>
  </si>
  <si>
    <r>
      <t>U</t>
    </r>
    <r>
      <rPr>
        <vertAlign val="subscript"/>
        <sz val="9"/>
        <color indexed="8"/>
        <rFont val="Calibri"/>
        <family val="2"/>
      </rPr>
      <t>k</t>
    </r>
  </si>
  <si>
    <r>
      <t>X</t>
    </r>
    <r>
      <rPr>
        <vertAlign val="subscript"/>
        <sz val="9"/>
        <color indexed="8"/>
        <rFont val="Calibri"/>
        <family val="2"/>
      </rPr>
      <t>k0</t>
    </r>
    <r>
      <rPr>
        <sz val="9"/>
        <color indexed="8"/>
        <rFont val="Calibri"/>
        <family val="2"/>
      </rPr>
      <t>/X</t>
    </r>
    <r>
      <rPr>
        <vertAlign val="subscript"/>
        <sz val="9"/>
        <color indexed="8"/>
        <rFont val="Calibri"/>
        <family val="2"/>
      </rPr>
      <t>k1</t>
    </r>
    <r>
      <rPr>
        <sz val="9"/>
        <color indexed="8"/>
        <rFont val="Calibri"/>
        <family val="2"/>
      </rPr>
      <t>=</t>
    </r>
  </si>
  <si>
    <r>
      <t>I</t>
    </r>
    <r>
      <rPr>
        <vertAlign val="subscript"/>
        <sz val="9"/>
        <color indexed="8"/>
        <rFont val="Times New Roman"/>
        <family val="1"/>
      </rPr>
      <t>k3</t>
    </r>
    <r>
      <rPr>
        <sz val="9"/>
        <color indexed="8"/>
        <rFont val="Times New Roman"/>
        <family val="1"/>
      </rPr>
      <t>''=</t>
    </r>
  </si>
  <si>
    <r>
      <t>V</t>
    </r>
    <r>
      <rPr>
        <vertAlign val="subscript"/>
        <sz val="9"/>
        <color indexed="8"/>
        <rFont val="Calibri"/>
        <family val="2"/>
      </rPr>
      <t>f</t>
    </r>
  </si>
  <si>
    <r>
      <t>I</t>
    </r>
    <r>
      <rPr>
        <vertAlign val="subscript"/>
        <sz val="9"/>
        <color indexed="8"/>
        <rFont val="Times New Roman"/>
        <family val="1"/>
      </rPr>
      <t>k1</t>
    </r>
    <r>
      <rPr>
        <sz val="9"/>
        <color indexed="8"/>
        <rFont val="Times New Roman"/>
        <family val="1"/>
      </rPr>
      <t>''=</t>
    </r>
  </si>
  <si>
    <r>
      <t>S</t>
    </r>
    <r>
      <rPr>
        <vertAlign val="subscript"/>
        <sz val="9"/>
        <color indexed="8"/>
        <rFont val="Calibri"/>
        <family val="2"/>
      </rPr>
      <t>n</t>
    </r>
    <r>
      <rPr>
        <sz val="9"/>
        <color indexed="8"/>
        <rFont val="Calibri"/>
        <family val="2"/>
      </rPr>
      <t>=</t>
    </r>
  </si>
  <si>
    <r>
      <t>S</t>
    </r>
    <r>
      <rPr>
        <vertAlign val="subscript"/>
        <sz val="9"/>
        <color indexed="8"/>
        <rFont val="Calibri"/>
        <family val="2"/>
      </rPr>
      <t>n</t>
    </r>
  </si>
  <si>
    <r>
      <t>X</t>
    </r>
    <r>
      <rPr>
        <vertAlign val="subscript"/>
        <sz val="9"/>
        <color indexed="8"/>
        <rFont val="Calibri"/>
        <family val="2"/>
      </rPr>
      <t>tr2</t>
    </r>
    <r>
      <rPr>
        <sz val="9"/>
        <color indexed="8"/>
        <rFont val="Calibri"/>
        <family val="2"/>
      </rPr>
      <t>:</t>
    </r>
  </si>
  <si>
    <r>
      <t>R</t>
    </r>
    <r>
      <rPr>
        <vertAlign val="subscript"/>
        <sz val="9"/>
        <color indexed="8"/>
        <rFont val="Calibri"/>
        <family val="2"/>
      </rPr>
      <t>k1</t>
    </r>
    <r>
      <rPr>
        <sz val="9"/>
        <color indexed="8"/>
        <rFont val="Calibri"/>
        <family val="2"/>
      </rPr>
      <t>=</t>
    </r>
  </si>
  <si>
    <r>
      <t>Z</t>
    </r>
    <r>
      <rPr>
        <vertAlign val="subscript"/>
        <sz val="9"/>
        <color indexed="8"/>
        <rFont val="Calibri"/>
        <family val="2"/>
      </rPr>
      <t>top</t>
    </r>
  </si>
  <si>
    <r>
      <t>R</t>
    </r>
    <r>
      <rPr>
        <vertAlign val="subscript"/>
        <sz val="9"/>
        <color indexed="8"/>
        <rFont val="Calibri"/>
        <family val="2"/>
      </rPr>
      <t>tr1</t>
    </r>
    <r>
      <rPr>
        <sz val="9"/>
        <color indexed="8"/>
        <rFont val="Calibri"/>
        <family val="2"/>
      </rPr>
      <t>=</t>
    </r>
  </si>
  <si>
    <r>
      <t>R</t>
    </r>
    <r>
      <rPr>
        <vertAlign val="subscript"/>
        <sz val="9"/>
        <color indexed="8"/>
        <rFont val="Calibri"/>
        <family val="2"/>
      </rPr>
      <t>tr2</t>
    </r>
    <r>
      <rPr>
        <sz val="9"/>
        <color indexed="8"/>
        <rFont val="Calibri"/>
        <family val="2"/>
      </rPr>
      <t>=</t>
    </r>
  </si>
  <si>
    <r>
      <t>R</t>
    </r>
    <r>
      <rPr>
        <vertAlign val="subscript"/>
        <sz val="9"/>
        <color indexed="8"/>
        <rFont val="Calibri"/>
        <family val="2"/>
      </rPr>
      <t>tr0</t>
    </r>
    <r>
      <rPr>
        <sz val="9"/>
        <color indexed="8"/>
        <rFont val="Calibri"/>
        <family val="2"/>
      </rPr>
      <t>=</t>
    </r>
  </si>
  <si>
    <r>
      <t>X</t>
    </r>
    <r>
      <rPr>
        <vertAlign val="subscript"/>
        <sz val="9"/>
        <color indexed="8"/>
        <rFont val="Calibri"/>
        <family val="2"/>
      </rPr>
      <t>tr1</t>
    </r>
    <r>
      <rPr>
        <sz val="9"/>
        <color indexed="8"/>
        <rFont val="Calibri"/>
        <family val="2"/>
      </rPr>
      <t>:</t>
    </r>
  </si>
  <si>
    <r>
      <t>U</t>
    </r>
    <r>
      <rPr>
        <vertAlign val="subscript"/>
        <sz val="9"/>
        <color indexed="8"/>
        <rFont val="Calibri"/>
        <family val="2"/>
      </rPr>
      <t>n</t>
    </r>
    <r>
      <rPr>
        <vertAlign val="superscript"/>
        <sz val="9"/>
        <color indexed="8"/>
        <rFont val="Calibri"/>
        <family val="2"/>
      </rPr>
      <t>2</t>
    </r>
  </si>
  <si>
    <r>
      <t>X</t>
    </r>
    <r>
      <rPr>
        <vertAlign val="subscript"/>
        <sz val="9"/>
        <color indexed="8"/>
        <rFont val="Calibri"/>
        <family val="2"/>
      </rPr>
      <t>tr0</t>
    </r>
    <r>
      <rPr>
        <sz val="9"/>
        <color indexed="8"/>
        <rFont val="Calibri"/>
        <family val="2"/>
      </rPr>
      <t>:</t>
    </r>
  </si>
  <si>
    <r>
      <t>R</t>
    </r>
    <r>
      <rPr>
        <vertAlign val="subscript"/>
        <sz val="9"/>
        <color indexed="8"/>
        <rFont val="Calibri"/>
        <family val="2"/>
      </rPr>
      <t>k0</t>
    </r>
    <r>
      <rPr>
        <sz val="9"/>
        <color indexed="8"/>
        <rFont val="Calibri"/>
        <family val="2"/>
      </rPr>
      <t>=</t>
    </r>
  </si>
  <si>
    <r>
      <t>R</t>
    </r>
    <r>
      <rPr>
        <vertAlign val="subscript"/>
        <sz val="9"/>
        <color indexed="8"/>
        <rFont val="Calibri"/>
        <family val="2"/>
      </rPr>
      <t>k1</t>
    </r>
  </si>
  <si>
    <r>
      <t>X</t>
    </r>
    <r>
      <rPr>
        <vertAlign val="subscript"/>
        <sz val="9"/>
        <color indexed="8"/>
        <rFont val="Calibri"/>
        <family val="2"/>
      </rPr>
      <t>k1</t>
    </r>
    <r>
      <rPr>
        <sz val="9"/>
        <color indexed="8"/>
        <rFont val="Calibri"/>
        <family val="2"/>
      </rPr>
      <t>=</t>
    </r>
  </si>
  <si>
    <r>
      <t>R</t>
    </r>
    <r>
      <rPr>
        <vertAlign val="subscript"/>
        <sz val="9"/>
        <color indexed="8"/>
        <rFont val="Calibri"/>
        <family val="2"/>
      </rPr>
      <t>n</t>
    </r>
    <r>
      <rPr>
        <sz val="9"/>
        <color indexed="8"/>
        <rFont val="Calibri"/>
        <family val="2"/>
      </rPr>
      <t>=</t>
    </r>
  </si>
  <si>
    <r>
      <t>R</t>
    </r>
    <r>
      <rPr>
        <vertAlign val="subscript"/>
        <sz val="9"/>
        <color indexed="8"/>
        <rFont val="Calibri"/>
        <family val="2"/>
      </rPr>
      <t>N</t>
    </r>
  </si>
  <si>
    <r>
      <t>R</t>
    </r>
    <r>
      <rPr>
        <vertAlign val="subscript"/>
        <sz val="9"/>
        <color indexed="8"/>
        <rFont val="Calibri"/>
        <family val="2"/>
      </rPr>
      <t>N</t>
    </r>
    <r>
      <rPr>
        <sz val="9"/>
        <color indexed="8"/>
        <rFont val="Calibri"/>
        <family val="2"/>
      </rPr>
      <t>:</t>
    </r>
  </si>
  <si>
    <r>
      <t>X</t>
    </r>
    <r>
      <rPr>
        <vertAlign val="subscript"/>
        <sz val="9"/>
        <color indexed="8"/>
        <rFont val="Calibri"/>
        <family val="2"/>
      </rPr>
      <t>k0</t>
    </r>
    <r>
      <rPr>
        <sz val="9"/>
        <color indexed="8"/>
        <rFont val="Calibri"/>
        <family val="2"/>
      </rPr>
      <t>=</t>
    </r>
  </si>
  <si>
    <r>
      <t>X</t>
    </r>
    <r>
      <rPr>
        <vertAlign val="subscript"/>
        <sz val="9"/>
        <color indexed="8"/>
        <rFont val="Calibri"/>
        <family val="2"/>
      </rPr>
      <t>k1</t>
    </r>
  </si>
  <si>
    <r>
      <t>X</t>
    </r>
    <r>
      <rPr>
        <vertAlign val="subscript"/>
        <sz val="9"/>
        <color indexed="8"/>
        <rFont val="Calibri"/>
        <family val="2"/>
      </rPr>
      <t>h1</t>
    </r>
    <r>
      <rPr>
        <sz val="9"/>
        <color indexed="8"/>
        <rFont val="Calibri"/>
        <family val="2"/>
      </rPr>
      <t>:</t>
    </r>
  </si>
  <si>
    <r>
      <t>X</t>
    </r>
    <r>
      <rPr>
        <vertAlign val="subscript"/>
        <sz val="9"/>
        <color indexed="8"/>
        <rFont val="Calibri"/>
        <family val="2"/>
      </rPr>
      <t>h2</t>
    </r>
    <r>
      <rPr>
        <sz val="9"/>
        <color indexed="8"/>
        <rFont val="Calibri"/>
        <family val="2"/>
      </rPr>
      <t>:</t>
    </r>
  </si>
  <si>
    <r>
      <t>Z</t>
    </r>
    <r>
      <rPr>
        <vertAlign val="subscript"/>
        <sz val="9"/>
        <color indexed="8"/>
        <rFont val="Calibri"/>
        <family val="2"/>
      </rPr>
      <t>0</t>
    </r>
  </si>
  <si>
    <r>
      <t>I</t>
    </r>
    <r>
      <rPr>
        <vertAlign val="subscript"/>
        <sz val="9"/>
        <color indexed="8"/>
        <rFont val="Times New Roman"/>
        <family val="1"/>
      </rPr>
      <t>k3</t>
    </r>
    <r>
      <rPr>
        <sz val="9"/>
        <color indexed="8"/>
        <rFont val="Times New Roman"/>
        <family val="1"/>
      </rPr>
      <t>''</t>
    </r>
  </si>
  <si>
    <r>
      <t>X</t>
    </r>
    <r>
      <rPr>
        <vertAlign val="subscript"/>
        <sz val="9"/>
        <color indexed="8"/>
        <rFont val="Calibri"/>
        <family val="2"/>
      </rPr>
      <t>h0</t>
    </r>
    <r>
      <rPr>
        <sz val="9"/>
        <color indexed="8"/>
        <rFont val="Calibri"/>
        <family val="2"/>
      </rPr>
      <t>:</t>
    </r>
  </si>
  <si>
    <r>
      <t>Z</t>
    </r>
    <r>
      <rPr>
        <vertAlign val="subscript"/>
        <sz val="9"/>
        <color indexed="8"/>
        <rFont val="Calibri"/>
        <family val="2"/>
      </rPr>
      <t>1</t>
    </r>
  </si>
  <si>
    <r>
      <t>R</t>
    </r>
    <r>
      <rPr>
        <vertAlign val="subscript"/>
        <sz val="9"/>
        <color indexed="8"/>
        <rFont val="Calibri"/>
        <family val="2"/>
      </rPr>
      <t>h1</t>
    </r>
    <r>
      <rPr>
        <sz val="9"/>
        <color indexed="8"/>
        <rFont val="Calibri"/>
        <family val="2"/>
      </rPr>
      <t>:</t>
    </r>
  </si>
  <si>
    <r>
      <t>Z</t>
    </r>
    <r>
      <rPr>
        <vertAlign val="sub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=</t>
    </r>
  </si>
  <si>
    <r>
      <t>R</t>
    </r>
    <r>
      <rPr>
        <vertAlign val="subscript"/>
        <sz val="9"/>
        <color indexed="8"/>
        <rFont val="Calibri"/>
        <family val="2"/>
      </rPr>
      <t>h2</t>
    </r>
    <r>
      <rPr>
        <sz val="9"/>
        <color indexed="8"/>
        <rFont val="Calibri"/>
        <family val="2"/>
      </rPr>
      <t>:</t>
    </r>
  </si>
  <si>
    <r>
      <t>Z</t>
    </r>
    <r>
      <rPr>
        <vertAlign val="subscript"/>
        <sz val="9"/>
        <color indexed="8"/>
        <rFont val="Calibri"/>
        <family val="2"/>
      </rPr>
      <t>0</t>
    </r>
    <r>
      <rPr>
        <sz val="9"/>
        <color indexed="8"/>
        <rFont val="Calibri"/>
        <family val="2"/>
      </rPr>
      <t>=</t>
    </r>
  </si>
  <si>
    <r>
      <t>R</t>
    </r>
    <r>
      <rPr>
        <vertAlign val="subscript"/>
        <sz val="9"/>
        <color indexed="8"/>
        <rFont val="Calibri"/>
        <family val="2"/>
      </rPr>
      <t>h0</t>
    </r>
    <r>
      <rPr>
        <sz val="9"/>
        <color indexed="8"/>
        <rFont val="Calibri"/>
        <family val="2"/>
      </rPr>
      <t>:</t>
    </r>
  </si>
  <si>
    <r>
      <t>R</t>
    </r>
    <r>
      <rPr>
        <vertAlign val="subscript"/>
        <sz val="9"/>
        <color indexed="8"/>
        <rFont val="Calibri"/>
        <family val="2"/>
      </rPr>
      <t>h1</t>
    </r>
    <r>
      <rPr>
        <sz val="9"/>
        <color indexed="8"/>
        <rFont val="Calibri"/>
        <family val="2"/>
      </rPr>
      <t>=</t>
    </r>
  </si>
  <si>
    <r>
      <t>L ×</t>
    </r>
    <r>
      <rPr>
        <sz val="9"/>
        <color indexed="8"/>
        <rFont val="Arial Tur"/>
        <family val="0"/>
      </rPr>
      <t xml:space="preserve"> </t>
    </r>
    <r>
      <rPr>
        <sz val="9"/>
        <color indexed="8"/>
        <rFont val="Calibri"/>
        <family val="2"/>
      </rPr>
      <t>R × 100</t>
    </r>
  </si>
  <si>
    <r>
      <t>R</t>
    </r>
    <r>
      <rPr>
        <vertAlign val="subscript"/>
        <sz val="9"/>
        <color indexed="8"/>
        <rFont val="Calibri"/>
        <family val="2"/>
      </rPr>
      <t>0</t>
    </r>
    <r>
      <rPr>
        <sz val="9"/>
        <color indexed="8"/>
        <rFont val="Calibri"/>
        <family val="2"/>
      </rPr>
      <t>=</t>
    </r>
  </si>
  <si>
    <r>
      <t>R</t>
    </r>
    <r>
      <rPr>
        <vertAlign val="subscript"/>
        <sz val="9"/>
        <color indexed="8"/>
        <rFont val="Calibri"/>
        <family val="2"/>
      </rPr>
      <t>h0</t>
    </r>
    <r>
      <rPr>
        <sz val="9"/>
        <color indexed="8"/>
        <rFont val="Calibri"/>
        <family val="2"/>
      </rPr>
      <t>=</t>
    </r>
  </si>
  <si>
    <r>
      <t>L ×</t>
    </r>
    <r>
      <rPr>
        <sz val="9"/>
        <color indexed="8"/>
        <rFont val="Arial Tur"/>
        <family val="0"/>
      </rPr>
      <t xml:space="preserve"> </t>
    </r>
    <r>
      <rPr>
        <sz val="9"/>
        <color indexed="8"/>
        <rFont val="Calibri"/>
        <family val="2"/>
      </rPr>
      <t>R</t>
    </r>
    <r>
      <rPr>
        <vertAlign val="subscript"/>
        <sz val="9"/>
        <color indexed="8"/>
        <rFont val="Calibri"/>
        <family val="2"/>
      </rPr>
      <t>0</t>
    </r>
    <r>
      <rPr>
        <sz val="9"/>
        <color indexed="8"/>
        <rFont val="Calibri"/>
        <family val="2"/>
      </rPr>
      <t xml:space="preserve"> × 100</t>
    </r>
  </si>
  <si>
    <r>
      <t>R</t>
    </r>
    <r>
      <rPr>
        <vertAlign val="subscript"/>
        <sz val="9"/>
        <color indexed="8"/>
        <rFont val="Calibri"/>
        <family val="2"/>
      </rPr>
      <t>h1</t>
    </r>
    <r>
      <rPr>
        <sz val="9"/>
        <color indexed="8"/>
        <rFont val="Calibri"/>
        <family val="2"/>
      </rPr>
      <t>=R</t>
    </r>
    <r>
      <rPr>
        <vertAlign val="subscript"/>
        <sz val="9"/>
        <color indexed="8"/>
        <rFont val="Calibri"/>
        <family val="2"/>
      </rPr>
      <t>h2</t>
    </r>
  </si>
  <si>
    <r>
      <t>X</t>
    </r>
    <r>
      <rPr>
        <vertAlign val="subscript"/>
        <sz val="9"/>
        <color indexed="8"/>
        <rFont val="Calibri"/>
        <family val="2"/>
      </rPr>
      <t>h1</t>
    </r>
    <r>
      <rPr>
        <sz val="9"/>
        <color indexed="8"/>
        <rFont val="Calibri"/>
        <family val="2"/>
      </rPr>
      <t>=</t>
    </r>
  </si>
  <si>
    <r>
      <t xml:space="preserve">L </t>
    </r>
    <r>
      <rPr>
        <sz val="9"/>
        <color indexed="8"/>
        <rFont val="Calibri"/>
        <family val="2"/>
      </rPr>
      <t xml:space="preserve"> × X × 100</t>
    </r>
  </si>
  <si>
    <r>
      <t>X</t>
    </r>
    <r>
      <rPr>
        <vertAlign val="subscript"/>
        <sz val="9"/>
        <color indexed="8"/>
        <rFont val="Calibri"/>
        <family val="2"/>
      </rPr>
      <t>h1</t>
    </r>
    <r>
      <rPr>
        <sz val="9"/>
        <color indexed="8"/>
        <rFont val="Calibri"/>
        <family val="2"/>
      </rPr>
      <t>=X</t>
    </r>
    <r>
      <rPr>
        <vertAlign val="subscript"/>
        <sz val="9"/>
        <color indexed="8"/>
        <rFont val="Calibri"/>
        <family val="2"/>
      </rPr>
      <t>h2</t>
    </r>
  </si>
  <si>
    <r>
      <t>X</t>
    </r>
    <r>
      <rPr>
        <vertAlign val="subscript"/>
        <sz val="9"/>
        <color indexed="8"/>
        <rFont val="Calibri"/>
        <family val="2"/>
      </rPr>
      <t>h0</t>
    </r>
    <r>
      <rPr>
        <sz val="9"/>
        <color indexed="8"/>
        <rFont val="Calibri"/>
        <family val="2"/>
      </rPr>
      <t>=</t>
    </r>
  </si>
  <si>
    <r>
      <t>3</t>
    </r>
    <r>
      <rPr>
        <sz val="9"/>
        <color indexed="8"/>
        <rFont val="Arial Tur"/>
        <family val="0"/>
      </rPr>
      <t>~</t>
    </r>
  </si>
  <si>
    <r>
      <t>X</t>
    </r>
    <r>
      <rPr>
        <vertAlign val="subscript"/>
        <sz val="9"/>
        <color indexed="8"/>
        <rFont val="Calibri"/>
        <family val="2"/>
      </rPr>
      <t>k1</t>
    </r>
    <r>
      <rPr>
        <sz val="9"/>
        <color indexed="8"/>
        <rFont val="Calibri"/>
        <family val="2"/>
      </rPr>
      <t>:</t>
    </r>
  </si>
  <si>
    <r>
      <t>X</t>
    </r>
    <r>
      <rPr>
        <vertAlign val="subscript"/>
        <sz val="9"/>
        <color indexed="8"/>
        <rFont val="Calibri"/>
        <family val="2"/>
      </rPr>
      <t>k0</t>
    </r>
    <r>
      <rPr>
        <sz val="9"/>
        <color indexed="8"/>
        <rFont val="Calibri"/>
        <family val="2"/>
      </rPr>
      <t>:</t>
    </r>
  </si>
  <si>
    <r>
      <t>R</t>
    </r>
    <r>
      <rPr>
        <vertAlign val="subscript"/>
        <sz val="9"/>
        <color indexed="8"/>
        <rFont val="Calibri"/>
        <family val="2"/>
      </rPr>
      <t>k1</t>
    </r>
    <r>
      <rPr>
        <sz val="9"/>
        <color indexed="8"/>
        <rFont val="Calibri"/>
        <family val="2"/>
      </rPr>
      <t>:</t>
    </r>
  </si>
  <si>
    <r>
      <t>R</t>
    </r>
    <r>
      <rPr>
        <vertAlign val="subscript"/>
        <sz val="9"/>
        <color indexed="8"/>
        <rFont val="Calibri"/>
        <family val="2"/>
      </rPr>
      <t>k0</t>
    </r>
    <r>
      <rPr>
        <sz val="9"/>
        <color indexed="8"/>
        <rFont val="Calibri"/>
        <family val="2"/>
      </rPr>
      <t>:</t>
    </r>
  </si>
  <si>
    <r>
      <t>X</t>
    </r>
    <r>
      <rPr>
        <vertAlign val="subscript"/>
        <sz val="9"/>
        <color indexed="8"/>
        <rFont val="Calibri"/>
        <family val="2"/>
      </rPr>
      <t>h1</t>
    </r>
  </si>
  <si>
    <r>
      <t>X</t>
    </r>
    <r>
      <rPr>
        <vertAlign val="subscript"/>
        <sz val="9"/>
        <color indexed="8"/>
        <rFont val="Calibri"/>
        <family val="2"/>
      </rPr>
      <t>t1</t>
    </r>
    <r>
      <rPr>
        <sz val="9"/>
        <color indexed="8"/>
        <rFont val="Calibri"/>
        <family val="2"/>
      </rPr>
      <t>:</t>
    </r>
  </si>
  <si>
    <r>
      <t>X</t>
    </r>
    <r>
      <rPr>
        <vertAlign val="subscript"/>
        <sz val="9"/>
        <color indexed="8"/>
        <rFont val="Calibri"/>
        <family val="2"/>
      </rPr>
      <t>t2</t>
    </r>
    <r>
      <rPr>
        <sz val="9"/>
        <color indexed="8"/>
        <rFont val="Calibri"/>
        <family val="2"/>
      </rPr>
      <t>:</t>
    </r>
  </si>
  <si>
    <r>
      <t>u</t>
    </r>
    <r>
      <rPr>
        <vertAlign val="subscript"/>
        <sz val="9"/>
        <color indexed="8"/>
        <rFont val="Calibri"/>
        <family val="2"/>
      </rPr>
      <t>k</t>
    </r>
  </si>
  <si>
    <r>
      <t>X</t>
    </r>
    <r>
      <rPr>
        <vertAlign val="subscript"/>
        <sz val="9"/>
        <color indexed="8"/>
        <rFont val="Calibri"/>
        <family val="2"/>
      </rPr>
      <t>t0</t>
    </r>
    <r>
      <rPr>
        <sz val="9"/>
        <color indexed="8"/>
        <rFont val="Calibri"/>
        <family val="2"/>
      </rPr>
      <t>:</t>
    </r>
  </si>
  <si>
    <t>R × L × 100</t>
  </si>
  <si>
    <t>X × L × 100</t>
  </si>
  <si>
    <r>
      <t>S</t>
    </r>
    <r>
      <rPr>
        <vertAlign val="subscript"/>
        <sz val="9"/>
        <color indexed="8"/>
        <rFont val="Calibri"/>
        <family val="2"/>
      </rPr>
      <t xml:space="preserve">n </t>
    </r>
    <r>
      <rPr>
        <sz val="9"/>
        <color indexed="8"/>
        <rFont val="Calibri"/>
        <family val="2"/>
      </rPr>
      <t>=</t>
    </r>
  </si>
  <si>
    <r>
      <t>u</t>
    </r>
    <r>
      <rPr>
        <vertAlign val="subscript"/>
        <sz val="9"/>
        <color indexed="8"/>
        <rFont val="Calibri"/>
        <family val="2"/>
      </rPr>
      <t xml:space="preserve">k </t>
    </r>
    <r>
      <rPr>
        <sz val="9"/>
        <color indexed="8"/>
        <rFont val="Calibri"/>
        <family val="2"/>
      </rPr>
      <t>=</t>
    </r>
  </si>
  <si>
    <r>
      <t>U</t>
    </r>
    <r>
      <rPr>
        <vertAlign val="subscript"/>
        <sz val="9"/>
        <color indexed="8"/>
        <rFont val="Calibri"/>
        <family val="2"/>
      </rPr>
      <t xml:space="preserve">n </t>
    </r>
    <r>
      <rPr>
        <sz val="9"/>
        <color indexed="8"/>
        <rFont val="Calibri"/>
        <family val="2"/>
      </rPr>
      <t>=</t>
    </r>
  </si>
  <si>
    <r>
      <t>R</t>
    </r>
    <r>
      <rPr>
        <vertAlign val="subscript"/>
        <sz val="9"/>
        <color indexed="8"/>
        <rFont val="Calibri"/>
        <family val="2"/>
      </rPr>
      <t xml:space="preserve">N </t>
    </r>
    <r>
      <rPr>
        <sz val="9"/>
        <color indexed="8"/>
        <rFont val="Calibri"/>
        <family val="2"/>
      </rPr>
      <t>=</t>
    </r>
  </si>
  <si>
    <t>R =</t>
  </si>
  <si>
    <r>
      <t>R</t>
    </r>
    <r>
      <rPr>
        <vertAlign val="subscript"/>
        <sz val="9"/>
        <color indexed="8"/>
        <rFont val="Calibri"/>
        <family val="2"/>
      </rPr>
      <t xml:space="preserve">0 </t>
    </r>
    <r>
      <rPr>
        <sz val="9"/>
        <color indexed="8"/>
        <rFont val="Calibri"/>
        <family val="2"/>
      </rPr>
      <t>=</t>
    </r>
  </si>
  <si>
    <r>
      <t>X</t>
    </r>
    <r>
      <rPr>
        <vertAlign val="subscript"/>
        <sz val="9"/>
        <color indexed="8"/>
        <rFont val="Calibri"/>
        <family val="2"/>
      </rPr>
      <t>h0</t>
    </r>
    <r>
      <rPr>
        <sz val="9"/>
        <color indexed="8"/>
        <rFont val="Calibri"/>
        <family val="2"/>
      </rPr>
      <t>/X</t>
    </r>
    <r>
      <rPr>
        <vertAlign val="subscript"/>
        <sz val="9"/>
        <color indexed="8"/>
        <rFont val="Calibri"/>
        <family val="2"/>
      </rPr>
      <t xml:space="preserve">h1  </t>
    </r>
    <r>
      <rPr>
        <sz val="9"/>
        <color indexed="8"/>
        <rFont val="Calibri"/>
        <family val="2"/>
      </rPr>
      <t>=</t>
    </r>
  </si>
  <si>
    <t>X  =</t>
  </si>
  <si>
    <r>
      <t>× X</t>
    </r>
    <r>
      <rPr>
        <vertAlign val="subscript"/>
        <sz val="9"/>
        <color indexed="8"/>
        <rFont val="Calibri"/>
        <family val="2"/>
      </rPr>
      <t>h1</t>
    </r>
  </si>
  <si>
    <r>
      <t>× X</t>
    </r>
    <r>
      <rPr>
        <vertAlign val="subscript"/>
        <sz val="9"/>
        <color indexed="8"/>
        <rFont val="Calibri"/>
        <family val="2"/>
      </rPr>
      <t>k1</t>
    </r>
  </si>
  <si>
    <r>
      <t>× R</t>
    </r>
    <r>
      <rPr>
        <vertAlign val="subscript"/>
        <sz val="9"/>
        <color indexed="8"/>
        <rFont val="Calibri"/>
        <family val="2"/>
      </rPr>
      <t>k1</t>
    </r>
  </si>
  <si>
    <r>
      <t>X</t>
    </r>
    <r>
      <rPr>
        <vertAlign val="subscript"/>
        <sz val="9"/>
        <color indexed="8"/>
        <rFont val="Calibri"/>
        <family val="2"/>
      </rPr>
      <t xml:space="preserve">t1  </t>
    </r>
    <r>
      <rPr>
        <sz val="9"/>
        <color indexed="8"/>
        <rFont val="Calibri"/>
        <family val="2"/>
      </rPr>
      <t>=</t>
    </r>
  </si>
  <si>
    <r>
      <t>X</t>
    </r>
    <r>
      <rPr>
        <vertAlign val="subscript"/>
        <sz val="9"/>
        <color indexed="8"/>
        <rFont val="Calibri"/>
        <family val="2"/>
      </rPr>
      <t xml:space="preserve">t2  </t>
    </r>
    <r>
      <rPr>
        <sz val="9"/>
        <color indexed="8"/>
        <rFont val="Calibri"/>
        <family val="2"/>
      </rPr>
      <t>=</t>
    </r>
  </si>
  <si>
    <r>
      <t>X</t>
    </r>
    <r>
      <rPr>
        <vertAlign val="subscript"/>
        <sz val="9"/>
        <color indexed="8"/>
        <rFont val="Calibri"/>
        <family val="2"/>
      </rPr>
      <t xml:space="preserve">t0  </t>
    </r>
    <r>
      <rPr>
        <sz val="9"/>
        <color indexed="8"/>
        <rFont val="Calibri"/>
        <family val="2"/>
      </rPr>
      <t>=</t>
    </r>
  </si>
  <si>
    <r>
      <t>R</t>
    </r>
    <r>
      <rPr>
        <vertAlign val="subscript"/>
        <sz val="9"/>
        <color indexed="8"/>
        <rFont val="Calibri"/>
        <family val="2"/>
      </rPr>
      <t xml:space="preserve">t1  </t>
    </r>
    <r>
      <rPr>
        <sz val="9"/>
        <color indexed="8"/>
        <rFont val="Calibri"/>
        <family val="2"/>
      </rPr>
      <t>=</t>
    </r>
  </si>
  <si>
    <r>
      <t>R</t>
    </r>
    <r>
      <rPr>
        <vertAlign val="subscript"/>
        <sz val="9"/>
        <color indexed="8"/>
        <rFont val="Calibri"/>
        <family val="2"/>
      </rPr>
      <t xml:space="preserve">t2  </t>
    </r>
    <r>
      <rPr>
        <sz val="9"/>
        <color indexed="8"/>
        <rFont val="Calibri"/>
        <family val="2"/>
      </rPr>
      <t>=</t>
    </r>
  </si>
  <si>
    <r>
      <t>R</t>
    </r>
    <r>
      <rPr>
        <vertAlign val="subscript"/>
        <sz val="9"/>
        <color indexed="8"/>
        <rFont val="Calibri"/>
        <family val="2"/>
      </rPr>
      <t xml:space="preserve">t0  </t>
    </r>
    <r>
      <rPr>
        <sz val="9"/>
        <color indexed="8"/>
        <rFont val="Calibri"/>
        <family val="2"/>
      </rPr>
      <t>=</t>
    </r>
  </si>
  <si>
    <r>
      <t>U</t>
    </r>
    <r>
      <rPr>
        <vertAlign val="subscript"/>
        <sz val="9"/>
        <color indexed="8"/>
        <rFont val="Calibri"/>
        <family val="2"/>
      </rPr>
      <t>rTYG</t>
    </r>
    <r>
      <rPr>
        <sz val="9"/>
        <color indexed="8"/>
        <rFont val="Calibri"/>
        <family val="2"/>
      </rPr>
      <t>=</t>
    </r>
  </si>
  <si>
    <r>
      <t>S</t>
    </r>
    <r>
      <rPr>
        <vertAlign val="subscript"/>
        <sz val="9"/>
        <color indexed="8"/>
        <rFont val="Calibri"/>
        <family val="2"/>
      </rPr>
      <t>K =</t>
    </r>
  </si>
  <si>
    <r>
      <t>U</t>
    </r>
    <r>
      <rPr>
        <vertAlign val="subscript"/>
        <sz val="9"/>
        <color indexed="8"/>
        <rFont val="Calibri"/>
        <family val="2"/>
      </rPr>
      <t>rTAG</t>
    </r>
    <r>
      <rPr>
        <sz val="9"/>
        <color indexed="8"/>
        <rFont val="Calibri"/>
        <family val="2"/>
      </rPr>
      <t>=</t>
    </r>
  </si>
  <si>
    <r>
      <t>S</t>
    </r>
    <r>
      <rPr>
        <vertAlign val="subscript"/>
        <sz val="9"/>
        <color indexed="8"/>
        <rFont val="Calibri"/>
        <family val="2"/>
      </rPr>
      <t xml:space="preserve">rT </t>
    </r>
    <r>
      <rPr>
        <sz val="9"/>
        <color indexed="8"/>
        <rFont val="Calibri"/>
        <family val="2"/>
      </rPr>
      <t>=</t>
    </r>
  </si>
  <si>
    <r>
      <t>P</t>
    </r>
    <r>
      <rPr>
        <vertAlign val="subscript"/>
        <sz val="9"/>
        <color indexed="8"/>
        <rFont val="Calibri"/>
        <family val="2"/>
      </rPr>
      <t xml:space="preserve">k </t>
    </r>
    <r>
      <rPr>
        <sz val="9"/>
        <color indexed="8"/>
        <rFont val="Calibri"/>
        <family val="2"/>
      </rPr>
      <t>=</t>
    </r>
  </si>
  <si>
    <r>
      <t>u</t>
    </r>
    <r>
      <rPr>
        <vertAlign val="subscript"/>
        <sz val="9"/>
        <color indexed="8"/>
        <rFont val="Calibri"/>
        <family val="2"/>
      </rPr>
      <t>R</t>
    </r>
    <r>
      <rPr>
        <sz val="9"/>
        <color indexed="8"/>
        <rFont val="Calibri"/>
        <family val="2"/>
      </rPr>
      <t>=</t>
    </r>
  </si>
  <si>
    <r>
      <t>Z</t>
    </r>
    <r>
      <rPr>
        <vertAlign val="subscript"/>
        <sz val="9"/>
        <color indexed="8"/>
        <rFont val="Calibri"/>
        <family val="2"/>
      </rPr>
      <t>T</t>
    </r>
    <r>
      <rPr>
        <sz val="9"/>
        <color indexed="8"/>
        <rFont val="Calibri"/>
        <family val="2"/>
      </rPr>
      <t>=</t>
    </r>
  </si>
  <si>
    <r>
      <t>U</t>
    </r>
    <r>
      <rPr>
        <vertAlign val="subscript"/>
        <sz val="9"/>
        <color indexed="8"/>
        <rFont val="Calibri"/>
        <family val="2"/>
      </rPr>
      <t>rT</t>
    </r>
    <r>
      <rPr>
        <vertAlign val="superscript"/>
        <sz val="9"/>
        <color indexed="8"/>
        <rFont val="Calibri"/>
        <family val="2"/>
      </rPr>
      <t>2</t>
    </r>
  </si>
  <si>
    <r>
      <t>Z</t>
    </r>
    <r>
      <rPr>
        <vertAlign val="subscript"/>
        <sz val="9"/>
        <color indexed="8"/>
        <rFont val="Calibri"/>
        <family val="2"/>
      </rPr>
      <t>T 1</t>
    </r>
    <r>
      <rPr>
        <sz val="9"/>
        <color indexed="8"/>
        <rFont val="Calibri"/>
        <family val="2"/>
      </rPr>
      <t>=</t>
    </r>
  </si>
  <si>
    <r>
      <t>S</t>
    </r>
    <r>
      <rPr>
        <vertAlign val="subscript"/>
        <sz val="9"/>
        <color indexed="8"/>
        <rFont val="Calibri"/>
        <family val="2"/>
      </rPr>
      <t>rT</t>
    </r>
  </si>
  <si>
    <r>
      <t>R</t>
    </r>
    <r>
      <rPr>
        <vertAlign val="subscript"/>
        <sz val="9"/>
        <color indexed="8"/>
        <rFont val="Calibri"/>
        <family val="2"/>
      </rPr>
      <t>T 1</t>
    </r>
    <r>
      <rPr>
        <sz val="9"/>
        <color indexed="8"/>
        <rFont val="Calibri"/>
        <family val="2"/>
      </rPr>
      <t>=</t>
    </r>
  </si>
  <si>
    <r>
      <t>X</t>
    </r>
    <r>
      <rPr>
        <vertAlign val="subscript"/>
        <sz val="9"/>
        <color indexed="8"/>
        <rFont val="Calibri"/>
        <family val="2"/>
      </rPr>
      <t>T1</t>
    </r>
    <r>
      <rPr>
        <sz val="9"/>
        <color indexed="8"/>
        <rFont val="Calibri"/>
        <family val="2"/>
      </rPr>
      <t>=</t>
    </r>
  </si>
  <si>
    <r>
      <t>u</t>
    </r>
    <r>
      <rPr>
        <vertAlign val="subscript"/>
        <sz val="9"/>
        <color indexed="8"/>
        <rFont val="Calibri"/>
        <family val="2"/>
      </rPr>
      <t>Rr</t>
    </r>
    <r>
      <rPr>
        <sz val="9"/>
        <color indexed="8"/>
        <rFont val="Calibri"/>
        <family val="2"/>
      </rPr>
      <t>=</t>
    </r>
  </si>
  <si>
    <r>
      <t>R</t>
    </r>
    <r>
      <rPr>
        <vertAlign val="subscript"/>
        <sz val="9"/>
        <color indexed="8"/>
        <rFont val="Calibri"/>
        <family val="2"/>
      </rPr>
      <t>T</t>
    </r>
    <r>
      <rPr>
        <sz val="9"/>
        <color indexed="8"/>
        <rFont val="Calibri"/>
        <family val="2"/>
      </rPr>
      <t>=</t>
    </r>
  </si>
  <si>
    <r>
      <t>u</t>
    </r>
    <r>
      <rPr>
        <vertAlign val="subscript"/>
        <sz val="9"/>
        <color indexed="8"/>
        <rFont val="Calibri"/>
        <family val="2"/>
      </rPr>
      <t>R</t>
    </r>
  </si>
  <si>
    <r>
      <t>P</t>
    </r>
    <r>
      <rPr>
        <vertAlign val="subscript"/>
        <sz val="9"/>
        <color indexed="8"/>
        <rFont val="Calibri"/>
        <family val="2"/>
      </rPr>
      <t>rT</t>
    </r>
    <r>
      <rPr>
        <sz val="9"/>
        <color indexed="8"/>
        <rFont val="Calibri"/>
        <family val="2"/>
      </rPr>
      <t>=</t>
    </r>
  </si>
  <si>
    <r>
      <t>x</t>
    </r>
    <r>
      <rPr>
        <vertAlign val="subscript"/>
        <sz val="9"/>
        <color indexed="8"/>
        <rFont val="Calibri"/>
        <family val="2"/>
      </rPr>
      <t>T</t>
    </r>
    <r>
      <rPr>
        <sz val="9"/>
        <color indexed="8"/>
        <rFont val="Calibri"/>
        <family val="2"/>
      </rPr>
      <t>=</t>
    </r>
  </si>
  <si>
    <r>
      <t>S</t>
    </r>
    <r>
      <rPr>
        <vertAlign val="subscript"/>
        <sz val="9"/>
        <color indexed="8"/>
        <rFont val="Calibri"/>
        <family val="2"/>
      </rPr>
      <t>rT</t>
    </r>
    <r>
      <rPr>
        <sz val="9"/>
        <color indexed="8"/>
        <rFont val="Calibri"/>
        <family val="2"/>
      </rPr>
      <t>=</t>
    </r>
  </si>
  <si>
    <r>
      <t>K</t>
    </r>
    <r>
      <rPr>
        <vertAlign val="subscript"/>
        <sz val="9"/>
        <color indexed="8"/>
        <rFont val="Calibri"/>
        <family val="2"/>
      </rPr>
      <t>T</t>
    </r>
    <r>
      <rPr>
        <sz val="9"/>
        <color indexed="8"/>
        <rFont val="Calibri"/>
        <family val="2"/>
      </rPr>
      <t>=</t>
    </r>
  </si>
  <si>
    <r>
      <t>u</t>
    </r>
    <r>
      <rPr>
        <vertAlign val="subscript"/>
        <sz val="9"/>
        <color indexed="8"/>
        <rFont val="Calibri"/>
        <family val="2"/>
      </rPr>
      <t>kr</t>
    </r>
    <r>
      <rPr>
        <sz val="9"/>
        <color indexed="8"/>
        <rFont val="Calibri"/>
        <family val="2"/>
      </rPr>
      <t>=</t>
    </r>
  </si>
  <si>
    <r>
      <t>X</t>
    </r>
    <r>
      <rPr>
        <vertAlign val="subscript"/>
        <sz val="9"/>
        <color indexed="8"/>
        <rFont val="Calibri"/>
        <family val="2"/>
      </rPr>
      <t>T1</t>
    </r>
  </si>
  <si>
    <r>
      <t>X</t>
    </r>
    <r>
      <rPr>
        <vertAlign val="subscript"/>
        <sz val="9"/>
        <color indexed="8"/>
        <rFont val="Calibri"/>
        <family val="2"/>
      </rPr>
      <t>TK</t>
    </r>
    <r>
      <rPr>
        <sz val="9"/>
        <color indexed="8"/>
        <rFont val="Calibri"/>
        <family val="2"/>
      </rPr>
      <t>=</t>
    </r>
  </si>
  <si>
    <r>
      <t>R</t>
    </r>
    <r>
      <rPr>
        <vertAlign val="subscript"/>
        <sz val="9"/>
        <color indexed="8"/>
        <rFont val="Calibri"/>
        <family val="2"/>
      </rPr>
      <t>T K</t>
    </r>
    <r>
      <rPr>
        <sz val="9"/>
        <color indexed="8"/>
        <rFont val="Calibri"/>
        <family val="2"/>
      </rPr>
      <t>=</t>
    </r>
  </si>
  <si>
    <r>
      <t>Z</t>
    </r>
    <r>
      <rPr>
        <vertAlign val="subscript"/>
        <sz val="9"/>
        <color indexed="8"/>
        <rFont val="Calibri"/>
        <family val="2"/>
      </rPr>
      <t>Q</t>
    </r>
    <r>
      <rPr>
        <sz val="9"/>
        <color indexed="8"/>
        <rFont val="Calibri"/>
        <family val="2"/>
      </rPr>
      <t>=</t>
    </r>
  </si>
  <si>
    <r>
      <t>U</t>
    </r>
    <r>
      <rPr>
        <vertAlign val="subscript"/>
        <sz val="9"/>
        <color indexed="8"/>
        <rFont val="Calibri"/>
        <family val="2"/>
      </rPr>
      <t>nQ</t>
    </r>
    <r>
      <rPr>
        <vertAlign val="superscript"/>
        <sz val="9"/>
        <color indexed="8"/>
        <rFont val="Calibri"/>
        <family val="2"/>
      </rPr>
      <t>2</t>
    </r>
  </si>
  <si>
    <r>
      <t>c</t>
    </r>
    <r>
      <rPr>
        <vertAlign val="subscript"/>
        <sz val="9"/>
        <color indexed="8"/>
        <rFont val="Calibri"/>
        <family val="2"/>
      </rPr>
      <t>en büyük</t>
    </r>
  </si>
  <si>
    <r>
      <t>S</t>
    </r>
    <r>
      <rPr>
        <vertAlign val="subscript"/>
        <sz val="9"/>
        <color indexed="8"/>
        <rFont val="Calibri"/>
        <family val="2"/>
      </rPr>
      <t>kQ</t>
    </r>
    <r>
      <rPr>
        <vertAlign val="superscript"/>
        <sz val="9"/>
        <color indexed="8"/>
        <rFont val="Calibri"/>
        <family val="2"/>
      </rPr>
      <t>''</t>
    </r>
  </si>
  <si>
    <r>
      <t>X</t>
    </r>
    <r>
      <rPr>
        <vertAlign val="subscript"/>
        <sz val="9"/>
        <color indexed="8"/>
        <rFont val="Calibri"/>
        <family val="2"/>
      </rPr>
      <t>Q</t>
    </r>
    <r>
      <rPr>
        <sz val="9"/>
        <color indexed="8"/>
        <rFont val="Calibri"/>
        <family val="2"/>
      </rPr>
      <t>=</t>
    </r>
  </si>
  <si>
    <r>
      <t>Z</t>
    </r>
    <r>
      <rPr>
        <vertAlign val="subscript"/>
        <sz val="9"/>
        <color indexed="8"/>
        <rFont val="Calibri"/>
        <family val="2"/>
      </rPr>
      <t>Q</t>
    </r>
  </si>
  <si>
    <r>
      <t>R</t>
    </r>
    <r>
      <rPr>
        <vertAlign val="subscript"/>
        <sz val="9"/>
        <color indexed="8"/>
        <rFont val="Calibri"/>
        <family val="2"/>
      </rPr>
      <t>Q</t>
    </r>
    <r>
      <rPr>
        <sz val="9"/>
        <color indexed="8"/>
        <rFont val="Calibri"/>
        <family val="2"/>
      </rPr>
      <t>=</t>
    </r>
  </si>
  <si>
    <r>
      <t>X</t>
    </r>
    <r>
      <rPr>
        <vertAlign val="subscript"/>
        <sz val="9"/>
        <color indexed="8"/>
        <rFont val="Calibri"/>
        <family val="2"/>
      </rPr>
      <t>Q</t>
    </r>
  </si>
  <si>
    <r>
      <t>Z</t>
    </r>
    <r>
      <rPr>
        <vertAlign val="subscript"/>
        <sz val="9"/>
        <color indexed="8"/>
        <rFont val="Calibri"/>
        <family val="2"/>
      </rPr>
      <t>T1</t>
    </r>
    <r>
      <rPr>
        <sz val="9"/>
        <color indexed="8"/>
        <rFont val="Calibri"/>
        <family val="2"/>
      </rPr>
      <t>=</t>
    </r>
  </si>
  <si>
    <r>
      <t>R</t>
    </r>
    <r>
      <rPr>
        <vertAlign val="subscript"/>
        <sz val="9"/>
        <color indexed="8"/>
        <rFont val="Calibri"/>
        <family val="2"/>
      </rPr>
      <t>T1</t>
    </r>
    <r>
      <rPr>
        <sz val="9"/>
        <color indexed="8"/>
        <rFont val="Calibri"/>
        <family val="2"/>
      </rPr>
      <t>=</t>
    </r>
  </si>
  <si>
    <r>
      <t>X</t>
    </r>
    <r>
      <rPr>
        <vertAlign val="subscript"/>
        <sz val="9"/>
        <color indexed="8"/>
        <rFont val="Calibri"/>
        <family val="2"/>
      </rPr>
      <t>T0</t>
    </r>
    <r>
      <rPr>
        <sz val="9"/>
        <color indexed="8"/>
        <rFont val="Calibri"/>
        <family val="2"/>
      </rPr>
      <t>=</t>
    </r>
  </si>
  <si>
    <r>
      <t>R</t>
    </r>
    <r>
      <rPr>
        <vertAlign val="subscript"/>
        <sz val="9"/>
        <color indexed="8"/>
        <rFont val="Calibri"/>
        <family val="2"/>
      </rPr>
      <t>T0</t>
    </r>
    <r>
      <rPr>
        <sz val="9"/>
        <color indexed="8"/>
        <rFont val="Calibri"/>
        <family val="2"/>
      </rPr>
      <t>=</t>
    </r>
  </si>
  <si>
    <r>
      <t>R</t>
    </r>
    <r>
      <rPr>
        <vertAlign val="subscript"/>
        <sz val="9"/>
        <color indexed="8"/>
        <rFont val="Calibri"/>
        <family val="2"/>
      </rPr>
      <t>T1</t>
    </r>
  </si>
  <si>
    <r>
      <rPr>
        <sz val="9"/>
        <color indexed="8"/>
        <rFont val="Arial Tur"/>
        <family val="0"/>
      </rPr>
      <t>к</t>
    </r>
    <r>
      <rPr>
        <sz val="9"/>
        <color indexed="8"/>
        <rFont val="Calibri"/>
        <family val="2"/>
      </rPr>
      <t>=</t>
    </r>
  </si>
  <si>
    <r>
      <t>0,9e</t>
    </r>
    <r>
      <rPr>
        <vertAlign val="superscript"/>
        <sz val="9"/>
        <color indexed="8"/>
        <rFont val="Calibri"/>
        <family val="2"/>
      </rPr>
      <t>-3R/X</t>
    </r>
  </si>
  <si>
    <r>
      <t>R</t>
    </r>
    <r>
      <rPr>
        <vertAlign val="subscript"/>
        <sz val="9"/>
        <color indexed="8"/>
        <rFont val="Calibri"/>
        <family val="2"/>
      </rPr>
      <t>h1</t>
    </r>
  </si>
  <si>
    <t>GÜÇ TRAFO EMPEDANSI</t>
  </si>
  <si>
    <t>ÜÇGEN TERTİP</t>
  </si>
  <si>
    <t>Ω</t>
  </si>
  <si>
    <t>KESİCİ HESABI</t>
  </si>
  <si>
    <t>Primer tarafı Kesici Seçimi</t>
  </si>
  <si>
    <t>Sekonder tarafı Kesici Seçimi</t>
  </si>
  <si>
    <r>
      <t>I</t>
    </r>
    <r>
      <rPr>
        <vertAlign val="subscript"/>
        <sz val="9"/>
        <color indexed="8"/>
        <rFont val="Calibri"/>
        <family val="2"/>
      </rPr>
      <t>n</t>
    </r>
    <r>
      <rPr>
        <sz val="9"/>
        <color indexed="8"/>
        <rFont val="Calibri"/>
        <family val="2"/>
      </rPr>
      <t>=</t>
    </r>
  </si>
  <si>
    <r>
      <t>U</t>
    </r>
    <r>
      <rPr>
        <vertAlign val="subscript"/>
        <sz val="9"/>
        <color indexed="8"/>
        <rFont val="Calibri"/>
        <family val="2"/>
      </rPr>
      <t>n</t>
    </r>
  </si>
  <si>
    <r>
      <t>I</t>
    </r>
    <r>
      <rPr>
        <vertAlign val="subscript"/>
        <sz val="9"/>
        <color indexed="8"/>
        <rFont val="Calibri"/>
        <family val="2"/>
      </rPr>
      <t>k</t>
    </r>
    <r>
      <rPr>
        <sz val="9"/>
        <color indexed="8"/>
        <rFont val="Calibri"/>
        <family val="2"/>
      </rPr>
      <t>''=</t>
    </r>
  </si>
  <si>
    <r>
      <t>I</t>
    </r>
    <r>
      <rPr>
        <vertAlign val="subscript"/>
        <sz val="9"/>
        <color indexed="8"/>
        <rFont val="Calibri"/>
        <family val="2"/>
      </rPr>
      <t>k3</t>
    </r>
    <r>
      <rPr>
        <sz val="9"/>
        <color indexed="8"/>
        <rFont val="Calibri"/>
        <family val="2"/>
      </rPr>
      <t>''</t>
    </r>
  </si>
  <si>
    <t>kA</t>
  </si>
  <si>
    <t>ANMA AKIMI                           :</t>
  </si>
  <si>
    <t>KESME AKIMI                          :</t>
  </si>
  <si>
    <t>DARBE KISA DEVRE AKIMI     :</t>
  </si>
  <si>
    <t>ANMA AKIMI     :</t>
  </si>
  <si>
    <t>KESME AKIMI    :</t>
  </si>
  <si>
    <t>AKIM TRAFOSU</t>
  </si>
  <si>
    <t>1 Noktasında</t>
  </si>
  <si>
    <t>2 Noktasında</t>
  </si>
  <si>
    <t>MAKSİMUM ASİMETRİK KISA DEVRE AKIMI VE TERMİK AKIM</t>
  </si>
  <si>
    <t>к</t>
  </si>
  <si>
    <t>к =</t>
  </si>
  <si>
    <r>
      <t>(0,9</t>
    </r>
    <r>
      <rPr>
        <sz val="9"/>
        <color indexed="8"/>
        <rFont val="Arial Tur"/>
        <family val="0"/>
      </rPr>
      <t>×e</t>
    </r>
    <r>
      <rPr>
        <vertAlign val="superscript"/>
        <sz val="9"/>
        <color indexed="8"/>
        <rFont val="Arial Tur"/>
        <family val="0"/>
      </rPr>
      <t>-R/X</t>
    </r>
    <r>
      <rPr>
        <sz val="9"/>
        <color indexed="8"/>
        <rFont val="Arial Tur"/>
        <family val="0"/>
      </rPr>
      <t>)</t>
    </r>
  </si>
  <si>
    <r>
      <t>I</t>
    </r>
    <r>
      <rPr>
        <vertAlign val="subscript"/>
        <sz val="9"/>
        <color indexed="8"/>
        <rFont val="Times New Roman"/>
        <family val="1"/>
      </rPr>
      <t>k</t>
    </r>
    <r>
      <rPr>
        <sz val="9"/>
        <color indexed="8"/>
        <rFont val="Times New Roman"/>
        <family val="1"/>
      </rPr>
      <t>''</t>
    </r>
  </si>
  <si>
    <r>
      <t>I</t>
    </r>
    <r>
      <rPr>
        <vertAlign val="subscript"/>
        <sz val="9"/>
        <color indexed="8"/>
        <rFont val="Times New Roman"/>
        <family val="1"/>
      </rPr>
      <t>s</t>
    </r>
    <r>
      <rPr>
        <sz val="9"/>
        <color indexed="8"/>
        <rFont val="Times New Roman"/>
        <family val="1"/>
      </rPr>
      <t>=</t>
    </r>
  </si>
  <si>
    <r>
      <t>I</t>
    </r>
    <r>
      <rPr>
        <vertAlign val="subscript"/>
        <sz val="9"/>
        <color indexed="8"/>
        <rFont val="Times New Roman"/>
        <family val="1"/>
      </rPr>
      <t>th</t>
    </r>
    <r>
      <rPr>
        <sz val="9"/>
        <color indexed="8"/>
        <rFont val="Times New Roman"/>
        <family val="1"/>
      </rPr>
      <t>=</t>
    </r>
  </si>
  <si>
    <r>
      <t>(m + n)</t>
    </r>
    <r>
      <rPr>
        <vertAlign val="superscript"/>
        <sz val="9"/>
        <color indexed="8"/>
        <rFont val="Calibri"/>
        <family val="2"/>
      </rPr>
      <t>1/2</t>
    </r>
  </si>
  <si>
    <r>
      <t>X</t>
    </r>
    <r>
      <rPr>
        <vertAlign val="subscript"/>
        <sz val="9"/>
        <color indexed="8"/>
        <rFont val="Calibri"/>
        <family val="2"/>
      </rPr>
      <t>sis</t>
    </r>
  </si>
  <si>
    <r>
      <t>X</t>
    </r>
    <r>
      <rPr>
        <vertAlign val="subscript"/>
        <sz val="9"/>
        <color indexed="8"/>
        <rFont val="Calibri"/>
        <family val="2"/>
      </rPr>
      <t>tr</t>
    </r>
  </si>
  <si>
    <r>
      <t>I</t>
    </r>
    <r>
      <rPr>
        <vertAlign val="subscript"/>
        <sz val="9"/>
        <color indexed="8"/>
        <rFont val="Times New Roman"/>
        <family val="1"/>
      </rPr>
      <t>k</t>
    </r>
    <r>
      <rPr>
        <sz val="9"/>
        <color indexed="8"/>
        <rFont val="Times New Roman"/>
        <family val="1"/>
      </rPr>
      <t>'</t>
    </r>
  </si>
  <si>
    <t>m=</t>
  </si>
  <si>
    <t>n=</t>
  </si>
  <si>
    <t>AKIM TRAFO</t>
  </si>
  <si>
    <t>IK/I</t>
  </si>
  <si>
    <t>n</t>
  </si>
  <si>
    <r>
      <t>I</t>
    </r>
    <r>
      <rPr>
        <vertAlign val="subscript"/>
        <sz val="9"/>
        <color indexed="8"/>
        <rFont val="Calibri"/>
        <family val="2"/>
      </rPr>
      <t>trp</t>
    </r>
    <r>
      <rPr>
        <sz val="9"/>
        <color indexed="8"/>
        <rFont val="Calibri"/>
        <family val="2"/>
      </rPr>
      <t>=</t>
    </r>
  </si>
  <si>
    <t>ÖLÇÜ</t>
  </si>
  <si>
    <t>KORUMA</t>
  </si>
  <si>
    <t>DÖNÜŞÜM ORANI   :</t>
  </si>
  <si>
    <t>DÖNÜŞÜM ORANI     :</t>
  </si>
  <si>
    <t>HATA SINIFI               :</t>
  </si>
  <si>
    <t>GÜCÜ                          :</t>
  </si>
  <si>
    <t>Xın</t>
  </si>
  <si>
    <t>NORM AKIM TRAFOSU PRİMERİ       :</t>
  </si>
  <si>
    <t>/</t>
  </si>
  <si>
    <t>HATA SINIFI             :</t>
  </si>
  <si>
    <t>GÜCÜ                        :</t>
  </si>
  <si>
    <t>NORM AKIM TRAFOSU PRİMERİ      :</t>
  </si>
  <si>
    <t>VA</t>
  </si>
  <si>
    <t>PRİMER (OG)</t>
  </si>
  <si>
    <t>SEKONDER (AG)</t>
  </si>
  <si>
    <t>GERİLİM TRAFOSU</t>
  </si>
  <si>
    <t>c=</t>
  </si>
  <si>
    <t>(</t>
  </si>
  <si>
    <r>
      <t xml:space="preserve">10 </t>
    </r>
    <r>
      <rPr>
        <vertAlign val="superscript"/>
        <sz val="9"/>
        <color indexed="8"/>
        <rFont val="Calibri"/>
        <family val="2"/>
      </rPr>
      <t>3</t>
    </r>
  </si>
  <si>
    <t>)</t>
  </si>
  <si>
    <r>
      <t>P</t>
    </r>
    <r>
      <rPr>
        <vertAlign val="subscript"/>
        <sz val="9"/>
        <color indexed="8"/>
        <rFont val="Calibri"/>
        <family val="2"/>
      </rPr>
      <t>krt</t>
    </r>
  </si>
  <si>
    <r>
      <t>S</t>
    </r>
    <r>
      <rPr>
        <vertAlign val="subscript"/>
        <sz val="9"/>
        <color indexed="8"/>
        <rFont val="Calibri"/>
        <family val="2"/>
      </rPr>
      <t>rT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</t>
    </r>
  </si>
  <si>
    <r>
      <t xml:space="preserve">( 0,6 </t>
    </r>
    <r>
      <rPr>
        <sz val="9"/>
        <color indexed="8"/>
        <rFont val="Arial Tur"/>
        <family val="0"/>
      </rPr>
      <t>×</t>
    </r>
    <r>
      <rPr>
        <sz val="9"/>
        <color indexed="8"/>
        <rFont val="Calibri"/>
        <family val="2"/>
      </rPr>
      <t xml:space="preserve"> x</t>
    </r>
    <r>
      <rPr>
        <vertAlign val="subscript"/>
        <sz val="9"/>
        <color indexed="8"/>
        <rFont val="Calibri"/>
        <family val="2"/>
      </rPr>
      <t xml:space="preserve">T </t>
    </r>
    <r>
      <rPr>
        <sz val="9"/>
        <color indexed="8"/>
        <rFont val="Calibri"/>
        <family val="2"/>
      </rPr>
      <t>)</t>
    </r>
  </si>
  <si>
    <r>
      <t>R</t>
    </r>
    <r>
      <rPr>
        <vertAlign val="subscript"/>
        <sz val="9"/>
        <color indexed="8"/>
        <rFont val="Calibri"/>
        <family val="2"/>
      </rPr>
      <t>T 0</t>
    </r>
    <r>
      <rPr>
        <sz val="9"/>
        <color indexed="8"/>
        <rFont val="Calibri"/>
        <family val="2"/>
      </rPr>
      <t>=</t>
    </r>
  </si>
  <si>
    <t>ARIZA AKIMLARI</t>
  </si>
  <si>
    <t>D1=</t>
  </si>
  <si>
    <t>D2=</t>
  </si>
  <si>
    <t>Dönüştürme oranları</t>
  </si>
  <si>
    <t>Z</t>
  </si>
  <si>
    <r>
      <t>İ</t>
    </r>
    <r>
      <rPr>
        <vertAlign val="subscript"/>
        <sz val="9"/>
        <color indexed="8"/>
        <rFont val="Calibri"/>
        <family val="2"/>
      </rPr>
      <t>p</t>
    </r>
    <r>
      <rPr>
        <sz val="9"/>
        <color indexed="8"/>
        <rFont val="Calibri"/>
        <family val="2"/>
      </rPr>
      <t>=</t>
    </r>
  </si>
  <si>
    <r>
      <t>I</t>
    </r>
    <r>
      <rPr>
        <vertAlign val="subscript"/>
        <sz val="9"/>
        <color indexed="8"/>
        <rFont val="Calibri"/>
        <family val="2"/>
      </rPr>
      <t>k</t>
    </r>
    <r>
      <rPr>
        <sz val="9"/>
        <color indexed="8"/>
        <rFont val="Calibri"/>
        <family val="2"/>
      </rPr>
      <t>''</t>
    </r>
  </si>
  <si>
    <r>
      <t>(m+n)</t>
    </r>
    <r>
      <rPr>
        <vertAlign val="superscript"/>
        <sz val="9"/>
        <color indexed="8"/>
        <rFont val="Calibri"/>
        <family val="2"/>
      </rPr>
      <t>1/2</t>
    </r>
  </si>
  <si>
    <t>Ω</t>
  </si>
  <si>
    <t>k değerini tablodan almak için :</t>
  </si>
  <si>
    <r>
      <t>I</t>
    </r>
    <r>
      <rPr>
        <b/>
        <vertAlign val="subscript"/>
        <sz val="9"/>
        <color indexed="8"/>
        <rFont val="Times New Roman"/>
        <family val="1"/>
      </rPr>
      <t>s</t>
    </r>
    <r>
      <rPr>
        <b/>
        <sz val="9"/>
        <color indexed="8"/>
        <rFont val="Times New Roman"/>
        <family val="1"/>
      </rPr>
      <t>=</t>
    </r>
  </si>
  <si>
    <r>
      <t>I</t>
    </r>
    <r>
      <rPr>
        <b/>
        <vertAlign val="subscript"/>
        <sz val="9"/>
        <color indexed="8"/>
        <rFont val="Times New Roman"/>
        <family val="1"/>
      </rPr>
      <t>th</t>
    </r>
    <r>
      <rPr>
        <b/>
        <sz val="9"/>
        <color indexed="8"/>
        <rFont val="Times New Roman"/>
        <family val="1"/>
      </rPr>
      <t>=</t>
    </r>
  </si>
  <si>
    <r>
      <t>I</t>
    </r>
    <r>
      <rPr>
        <b/>
        <vertAlign val="subscript"/>
        <sz val="9"/>
        <color indexed="8"/>
        <rFont val="Times New Roman"/>
        <family val="1"/>
      </rPr>
      <t>k3</t>
    </r>
    <r>
      <rPr>
        <b/>
        <sz val="9"/>
        <color indexed="8"/>
        <rFont val="Times New Roman"/>
        <family val="1"/>
      </rPr>
      <t>''=</t>
    </r>
  </si>
  <si>
    <r>
      <t>I</t>
    </r>
    <r>
      <rPr>
        <b/>
        <vertAlign val="subscript"/>
        <sz val="9"/>
        <color indexed="8"/>
        <rFont val="Times New Roman"/>
        <family val="1"/>
      </rPr>
      <t>k1</t>
    </r>
    <r>
      <rPr>
        <b/>
        <sz val="9"/>
        <color indexed="8"/>
        <rFont val="Times New Roman"/>
        <family val="1"/>
      </rPr>
      <t>''=</t>
    </r>
  </si>
  <si>
    <t xml:space="preserve">1 NOKTASINDA ÜÇ FAZ KISA DEVRE </t>
  </si>
  <si>
    <t xml:space="preserve">2 NOKTASINDA ÜÇ FAZ KISA DEVRE </t>
  </si>
  <si>
    <t>к=</t>
  </si>
  <si>
    <r>
      <t>I</t>
    </r>
    <r>
      <rPr>
        <vertAlign val="subscript"/>
        <sz val="9"/>
        <color indexed="8"/>
        <rFont val="Calibri"/>
        <family val="2"/>
      </rPr>
      <t>th</t>
    </r>
    <r>
      <rPr>
        <sz val="9"/>
        <color indexed="8"/>
        <rFont val="Calibri"/>
        <family val="2"/>
      </rPr>
      <t>=</t>
    </r>
  </si>
  <si>
    <t xml:space="preserve">2 NOKTASINDA TEK FAZ KISA DEVRE </t>
  </si>
  <si>
    <t>AG Aktif güç kontrol rölesi için</t>
  </si>
  <si>
    <t>AG Enerji analizörü için</t>
  </si>
  <si>
    <r>
      <t>I</t>
    </r>
    <r>
      <rPr>
        <vertAlign val="subscript"/>
        <sz val="9"/>
        <color indexed="8"/>
        <rFont val="Calibri"/>
        <family val="2"/>
      </rPr>
      <t>th</t>
    </r>
  </si>
  <si>
    <r>
      <t>I</t>
    </r>
    <r>
      <rPr>
        <vertAlign val="subscript"/>
        <sz val="9"/>
        <color indexed="8"/>
        <rFont val="Calibri"/>
        <family val="2"/>
      </rPr>
      <t>n</t>
    </r>
  </si>
  <si>
    <t>kesicili trafo koruma hücresi için</t>
  </si>
  <si>
    <t>yük ayırıcılı akım gerilim ölçü hücresi için</t>
  </si>
  <si>
    <t>kesici giriş çıkış hücresi için</t>
  </si>
  <si>
    <t>DÖNÜŞÜM ORANI      :</t>
  </si>
  <si>
    <t>HATA SINIF                 :</t>
  </si>
  <si>
    <t>akımlar nyy ve kesit</t>
  </si>
  <si>
    <t>kesit</t>
  </si>
  <si>
    <t>akım bir üst deger</t>
  </si>
  <si>
    <r>
      <t>S [mm</t>
    </r>
    <r>
      <rPr>
        <b/>
        <vertAlign val="superscript"/>
        <sz val="7"/>
        <color indexed="8"/>
        <rFont val="Arial"/>
        <family val="2"/>
      </rPr>
      <t>2</t>
    </r>
    <r>
      <rPr>
        <b/>
        <sz val="7"/>
        <color indexed="8"/>
        <rFont val="Arial"/>
        <family val="2"/>
      </rPr>
      <t>]</t>
    </r>
  </si>
  <si>
    <r>
      <t>cos</t>
    </r>
    <r>
      <rPr>
        <b/>
        <sz val="7"/>
        <color indexed="8"/>
        <rFont val="Symbol"/>
        <family val="1"/>
      </rPr>
      <t>j</t>
    </r>
  </si>
  <si>
    <t>BKDP</t>
  </si>
  <si>
    <t>ZKDP</t>
  </si>
  <si>
    <t>1NKDP</t>
  </si>
  <si>
    <t>2NKDP</t>
  </si>
  <si>
    <t>SİP</t>
  </si>
  <si>
    <t>İDARİ PANO</t>
  </si>
  <si>
    <t>&lt;</t>
  </si>
  <si>
    <t>SABİT KOMPANZASYON GÜCÜ</t>
  </si>
  <si>
    <t>kVAR</t>
  </si>
  <si>
    <t>seçilmiştir</t>
  </si>
  <si>
    <r>
      <t>cosφ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=</t>
    </r>
  </si>
  <si>
    <r>
      <t>cosφ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=</t>
    </r>
  </si>
  <si>
    <r>
      <t>tan(</t>
    </r>
    <r>
      <rPr>
        <sz val="10"/>
        <color indexed="8"/>
        <rFont val="Arial Tur"/>
        <family val="0"/>
      </rPr>
      <t>φ</t>
    </r>
    <r>
      <rPr>
        <vertAlign val="subscript"/>
        <sz val="10"/>
        <color indexed="8"/>
        <rFont val="Arial Tur"/>
        <family val="0"/>
      </rPr>
      <t>1</t>
    </r>
    <r>
      <rPr>
        <sz val="10"/>
        <color indexed="8"/>
        <rFont val="Arial Tur"/>
        <family val="0"/>
      </rPr>
      <t>)</t>
    </r>
  </si>
  <si>
    <r>
      <t>tan(</t>
    </r>
    <r>
      <rPr>
        <sz val="10"/>
        <color indexed="8"/>
        <rFont val="Arial Tur"/>
        <family val="0"/>
      </rPr>
      <t>φ</t>
    </r>
    <r>
      <rPr>
        <vertAlign val="subscript"/>
        <sz val="10"/>
        <color indexed="8"/>
        <rFont val="Arial Tur"/>
        <family val="0"/>
      </rPr>
      <t>2</t>
    </r>
    <r>
      <rPr>
        <sz val="10"/>
        <color indexed="8"/>
        <rFont val="Arial"/>
        <family val="2"/>
      </rPr>
      <t>)</t>
    </r>
  </si>
  <si>
    <r>
      <t>Q</t>
    </r>
    <r>
      <rPr>
        <vertAlign val="subscript"/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=</t>
    </r>
  </si>
  <si>
    <r>
      <t>Q</t>
    </r>
    <r>
      <rPr>
        <vertAlign val="subscript"/>
        <sz val="10"/>
        <color indexed="8"/>
        <rFont val="Arial"/>
        <family val="2"/>
      </rPr>
      <t>c(sabit)</t>
    </r>
  </si>
  <si>
    <r>
      <t>Q</t>
    </r>
    <r>
      <rPr>
        <vertAlign val="subscript"/>
        <sz val="10"/>
        <color indexed="8"/>
        <rFont val="Arial"/>
        <family val="2"/>
      </rPr>
      <t>c(sabit)</t>
    </r>
    <r>
      <rPr>
        <sz val="10"/>
        <color indexed="8"/>
        <rFont val="Arial"/>
        <family val="2"/>
      </rPr>
      <t>=</t>
    </r>
  </si>
  <si>
    <t>KADEME</t>
  </si>
  <si>
    <t>GÜÇ</t>
  </si>
  <si>
    <t>SABİT</t>
  </si>
  <si>
    <t>4. KADEME</t>
  </si>
  <si>
    <t>5. KADEME</t>
  </si>
  <si>
    <t>6. KADEME</t>
  </si>
  <si>
    <t>7. KADEME</t>
  </si>
  <si>
    <t>8. KADEME</t>
  </si>
  <si>
    <t>9. KADEME</t>
  </si>
  <si>
    <t>10. KADEME</t>
  </si>
  <si>
    <t>11. KADEME</t>
  </si>
  <si>
    <t>12. KADEME</t>
  </si>
  <si>
    <t>13. KADEME</t>
  </si>
  <si>
    <t>14. KADEME</t>
  </si>
  <si>
    <t>15. KADEME</t>
  </si>
  <si>
    <t>16. KADEME</t>
  </si>
  <si>
    <t>17. KADEME</t>
  </si>
  <si>
    <t>3. KADEME</t>
  </si>
  <si>
    <t>2. KADEME</t>
  </si>
  <si>
    <t>1. KADEME</t>
  </si>
  <si>
    <t>18. KADEME</t>
  </si>
  <si>
    <t>K + 2</t>
  </si>
  <si>
    <r>
      <t xml:space="preserve">10 </t>
    </r>
    <r>
      <rPr>
        <vertAlign val="superscript"/>
        <sz val="9"/>
        <color indexed="8"/>
        <rFont val="Calibri"/>
        <family val="2"/>
      </rPr>
      <t>6</t>
    </r>
  </si>
  <si>
    <r>
      <t>I</t>
    </r>
    <r>
      <rPr>
        <b/>
        <vertAlign val="subscript"/>
        <sz val="9"/>
        <color indexed="8"/>
        <rFont val="Calibri"/>
        <family val="2"/>
      </rPr>
      <t>k</t>
    </r>
    <r>
      <rPr>
        <b/>
        <sz val="9"/>
        <color indexed="8"/>
        <rFont val="Calibri"/>
        <family val="2"/>
      </rPr>
      <t>''=</t>
    </r>
  </si>
  <si>
    <r>
      <t>İ</t>
    </r>
    <r>
      <rPr>
        <b/>
        <vertAlign val="subscript"/>
        <sz val="9"/>
        <color indexed="8"/>
        <rFont val="Calibri"/>
        <family val="2"/>
      </rPr>
      <t>p</t>
    </r>
    <r>
      <rPr>
        <b/>
        <sz val="9"/>
        <color indexed="8"/>
        <rFont val="Calibri"/>
        <family val="2"/>
      </rPr>
      <t>=</t>
    </r>
  </si>
  <si>
    <r>
      <t>I</t>
    </r>
    <r>
      <rPr>
        <b/>
        <vertAlign val="subscript"/>
        <sz val="9"/>
        <color indexed="8"/>
        <rFont val="Calibri"/>
        <family val="2"/>
      </rPr>
      <t>th</t>
    </r>
    <r>
      <rPr>
        <b/>
        <sz val="9"/>
        <color indexed="8"/>
        <rFont val="Calibri"/>
        <family val="2"/>
      </rPr>
      <t>=</t>
    </r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</si>
</sst>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"/>
    <numFmt numFmtId="173" formatCode="0.0"/>
    <numFmt numFmtId="174" formatCode="0.0000"/>
    <numFmt numFmtId="175" formatCode="0.000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Tur"/>
      <family val="0"/>
    </font>
    <font>
      <b/>
      <sz val="12"/>
      <name val="Times New Roman"/>
      <family val="1"/>
    </font>
    <font>
      <b/>
      <sz val="14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sz val="9"/>
      <color indexed="8"/>
      <name val="Arial Tur"/>
      <family val="0"/>
    </font>
    <font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vertAlign val="superscript"/>
      <sz val="9"/>
      <color indexed="8"/>
      <name val="Calibri"/>
      <family val="2"/>
    </font>
    <font>
      <vertAlign val="superscript"/>
      <sz val="9"/>
      <color indexed="8"/>
      <name val="Arial Tur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b/>
      <sz val="7"/>
      <color indexed="8"/>
      <name val="Symbol"/>
      <family val="1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8"/>
      <name val="Arial Tur"/>
      <family val="0"/>
    </font>
    <font>
      <vertAlign val="subscript"/>
      <sz val="10"/>
      <color indexed="8"/>
      <name val="Arial Tur"/>
      <family val="0"/>
    </font>
    <font>
      <b/>
      <vertAlign val="subscript"/>
      <sz val="9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Tur"/>
      <family val="0"/>
    </font>
    <font>
      <sz val="12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 Tur"/>
      <family val="0"/>
    </font>
    <font>
      <sz val="9"/>
      <color theme="1"/>
      <name val="Times New Roman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9"/>
      <color theme="1"/>
      <name val="Times New Roman"/>
      <family val="1"/>
    </font>
    <font>
      <sz val="8"/>
      <color rgb="FF000000"/>
      <name val="Arial Narrow"/>
      <family val="2"/>
    </font>
    <font>
      <sz val="10"/>
      <color theme="1"/>
      <name val="Arial"/>
      <family val="2"/>
    </font>
    <font>
      <sz val="10"/>
      <color theme="1"/>
      <name val="Arial Tur"/>
      <family val="0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9" fillId="20" borderId="5" applyNumberFormat="0" applyAlignment="0" applyProtection="0"/>
    <xf numFmtId="0" fontId="60" fillId="21" borderId="6" applyNumberFormat="0" applyAlignment="0" applyProtection="0"/>
    <xf numFmtId="0" fontId="61" fillId="20" borderId="6" applyNumberFormat="0" applyAlignment="0" applyProtection="0"/>
    <xf numFmtId="0" fontId="62" fillId="22" borderId="7" applyNumberFormat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0" fillId="25" borderId="8" applyNumberFormat="0" applyFont="0" applyAlignment="0" applyProtection="0"/>
    <xf numFmtId="0" fontId="6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8" fillId="0" borderId="0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9" fillId="0" borderId="12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70" fillId="0" borderId="14" xfId="0" applyFont="1" applyBorder="1" applyAlignment="1">
      <alignment horizontal="center" wrapText="1"/>
    </xf>
    <xf numFmtId="0" fontId="70" fillId="0" borderId="15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71" fillId="0" borderId="12" xfId="0" applyFont="1" applyBorder="1" applyAlignment="1">
      <alignment horizontal="center" wrapText="1"/>
    </xf>
    <xf numFmtId="0" fontId="71" fillId="0" borderId="13" xfId="0" applyFont="1" applyBorder="1" applyAlignment="1">
      <alignment horizontal="center" wrapText="1"/>
    </xf>
    <xf numFmtId="0" fontId="66" fillId="0" borderId="18" xfId="0" applyFont="1" applyBorder="1" applyAlignment="1">
      <alignment/>
    </xf>
    <xf numFmtId="0" fontId="66" fillId="33" borderId="18" xfId="0" applyFont="1" applyFill="1" applyBorder="1" applyAlignment="1">
      <alignment/>
    </xf>
    <xf numFmtId="0" fontId="66" fillId="34" borderId="18" xfId="0" applyFont="1" applyFill="1" applyBorder="1" applyAlignment="1">
      <alignment/>
    </xf>
    <xf numFmtId="0" fontId="72" fillId="0" borderId="14" xfId="0" applyFont="1" applyBorder="1" applyAlignment="1">
      <alignment horizontal="center"/>
    </xf>
    <xf numFmtId="0" fontId="72" fillId="0" borderId="12" xfId="0" applyFont="1" applyBorder="1" applyAlignment="1">
      <alignment horizontal="center" wrapText="1"/>
    </xf>
    <xf numFmtId="0" fontId="72" fillId="0" borderId="14" xfId="0" applyFont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72" fillId="0" borderId="19" xfId="0" applyFont="1" applyBorder="1" applyAlignment="1">
      <alignment horizontal="center" wrapText="1"/>
    </xf>
    <xf numFmtId="0" fontId="72" fillId="0" borderId="20" xfId="0" applyFont="1" applyBorder="1" applyAlignment="1">
      <alignment horizontal="center" wrapText="1"/>
    </xf>
    <xf numFmtId="0" fontId="72" fillId="0" borderId="16" xfId="0" applyFont="1" applyBorder="1" applyAlignment="1">
      <alignment horizontal="center"/>
    </xf>
    <xf numFmtId="174" fontId="0" fillId="0" borderId="0" xfId="0" applyNumberFormat="1" applyAlignment="1">
      <alignment/>
    </xf>
    <xf numFmtId="0" fontId="72" fillId="0" borderId="0" xfId="0" applyFont="1" applyFill="1" applyBorder="1" applyAlignment="1">
      <alignment horizontal="center" wrapText="1"/>
    </xf>
    <xf numFmtId="174" fontId="72" fillId="0" borderId="14" xfId="0" applyNumberFormat="1" applyFont="1" applyBorder="1" applyAlignment="1">
      <alignment horizontal="center"/>
    </xf>
    <xf numFmtId="174" fontId="72" fillId="0" borderId="15" xfId="0" applyNumberFormat="1" applyFont="1" applyBorder="1" applyAlignment="1">
      <alignment horizontal="center"/>
    </xf>
    <xf numFmtId="174" fontId="72" fillId="0" borderId="12" xfId="0" applyNumberFormat="1" applyFont="1" applyBorder="1" applyAlignment="1">
      <alignment horizontal="center" wrapText="1"/>
    </xf>
    <xf numFmtId="174" fontId="72" fillId="0" borderId="14" xfId="0" applyNumberFormat="1" applyFont="1" applyBorder="1" applyAlignment="1">
      <alignment horizontal="center" wrapText="1"/>
    </xf>
    <xf numFmtId="0" fontId="72" fillId="0" borderId="18" xfId="0" applyFont="1" applyBorder="1" applyAlignment="1">
      <alignment horizontal="center" wrapText="1"/>
    </xf>
    <xf numFmtId="0" fontId="70" fillId="0" borderId="12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70" fillId="0" borderId="18" xfId="0" applyFont="1" applyBorder="1" applyAlignment="1">
      <alignment horizontal="center" wrapText="1"/>
    </xf>
    <xf numFmtId="0" fontId="73" fillId="0" borderId="18" xfId="0" applyFont="1" applyBorder="1" applyAlignment="1">
      <alignment horizontal="center" vertical="center"/>
    </xf>
    <xf numFmtId="0" fontId="74" fillId="0" borderId="0" xfId="0" applyFont="1" applyAlignment="1">
      <alignment/>
    </xf>
    <xf numFmtId="172" fontId="74" fillId="0" borderId="0" xfId="0" applyNumberFormat="1" applyFont="1" applyAlignment="1">
      <alignment/>
    </xf>
    <xf numFmtId="0" fontId="74" fillId="0" borderId="0" xfId="0" applyFont="1" applyFill="1" applyBorder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Border="1" applyAlignment="1">
      <alignment/>
    </xf>
    <xf numFmtId="172" fontId="74" fillId="0" borderId="0" xfId="0" applyNumberFormat="1" applyFont="1" applyBorder="1" applyAlignment="1">
      <alignment/>
    </xf>
    <xf numFmtId="0" fontId="74" fillId="0" borderId="21" xfId="0" applyFont="1" applyBorder="1" applyAlignment="1">
      <alignment horizontal="right"/>
    </xf>
    <xf numFmtId="0" fontId="74" fillId="0" borderId="0" xfId="0" applyFont="1" applyFill="1" applyAlignment="1">
      <alignment/>
    </xf>
    <xf numFmtId="2" fontId="74" fillId="0" borderId="0" xfId="0" applyNumberFormat="1" applyFont="1" applyAlignment="1">
      <alignment vertical="center"/>
    </xf>
    <xf numFmtId="2" fontId="74" fillId="0" borderId="0" xfId="0" applyNumberFormat="1" applyFont="1" applyBorder="1" applyAlignment="1">
      <alignment vertical="center"/>
    </xf>
    <xf numFmtId="2" fontId="74" fillId="0" borderId="0" xfId="0" applyNumberFormat="1" applyFont="1" applyAlignment="1">
      <alignment/>
    </xf>
    <xf numFmtId="2" fontId="75" fillId="0" borderId="0" xfId="0" applyNumberFormat="1" applyFont="1" applyAlignment="1">
      <alignment horizontal="center" vertical="center"/>
    </xf>
    <xf numFmtId="2" fontId="74" fillId="0" borderId="0" xfId="0" applyNumberFormat="1" applyFont="1" applyBorder="1" applyAlignment="1">
      <alignment/>
    </xf>
    <xf numFmtId="2" fontId="75" fillId="0" borderId="0" xfId="0" applyNumberFormat="1" applyFont="1" applyBorder="1" applyAlignment="1">
      <alignment horizontal="center" vertical="center"/>
    </xf>
    <xf numFmtId="0" fontId="74" fillId="0" borderId="11" xfId="0" applyFont="1" applyBorder="1" applyAlignment="1">
      <alignment/>
    </xf>
    <xf numFmtId="0" fontId="74" fillId="0" borderId="18" xfId="0" applyFont="1" applyBorder="1" applyAlignment="1">
      <alignment/>
    </xf>
    <xf numFmtId="0" fontId="74" fillId="0" borderId="21" xfId="0" applyFont="1" applyBorder="1" applyAlignment="1">
      <alignment/>
    </xf>
    <xf numFmtId="0" fontId="76" fillId="0" borderId="0" xfId="0" applyFont="1" applyAlignment="1">
      <alignment vertical="center"/>
    </xf>
    <xf numFmtId="0" fontId="76" fillId="0" borderId="21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4" fillId="0" borderId="10" xfId="0" applyFont="1" applyBorder="1" applyAlignment="1">
      <alignment/>
    </xf>
    <xf numFmtId="0" fontId="74" fillId="0" borderId="0" xfId="0" applyFont="1" applyAlignment="1">
      <alignment vertical="center"/>
    </xf>
    <xf numFmtId="173" fontId="74" fillId="0" borderId="0" xfId="0" applyNumberFormat="1" applyFont="1" applyAlignment="1">
      <alignment/>
    </xf>
    <xf numFmtId="173" fontId="74" fillId="0" borderId="0" xfId="0" applyNumberFormat="1" applyFont="1" applyAlignment="1">
      <alignment horizontal="center"/>
    </xf>
    <xf numFmtId="0" fontId="75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173" fontId="74" fillId="0" borderId="0" xfId="0" applyNumberFormat="1" applyFont="1" applyAlignment="1">
      <alignment/>
    </xf>
    <xf numFmtId="0" fontId="74" fillId="0" borderId="21" xfId="0" applyFont="1" applyBorder="1" applyAlignment="1">
      <alignment/>
    </xf>
    <xf numFmtId="2" fontId="77" fillId="0" borderId="0" xfId="0" applyNumberFormat="1" applyFont="1" applyAlignment="1">
      <alignment/>
    </xf>
    <xf numFmtId="0" fontId="75" fillId="0" borderId="1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/>
    </xf>
    <xf numFmtId="0" fontId="74" fillId="0" borderId="0" xfId="0" applyFont="1" applyAlignment="1">
      <alignment horizontal="left" vertical="center"/>
    </xf>
    <xf numFmtId="0" fontId="74" fillId="0" borderId="10" xfId="0" applyFont="1" applyBorder="1" applyAlignment="1">
      <alignment/>
    </xf>
    <xf numFmtId="0" fontId="78" fillId="0" borderId="10" xfId="0" applyFont="1" applyBorder="1" applyAlignment="1">
      <alignment horizontal="left" vertical="center"/>
    </xf>
    <xf numFmtId="0" fontId="74" fillId="0" borderId="11" xfId="0" applyFont="1" applyBorder="1" applyAlignment="1">
      <alignment/>
    </xf>
    <xf numFmtId="0" fontId="74" fillId="0" borderId="11" xfId="0" applyFont="1" applyBorder="1" applyAlignment="1">
      <alignment horizontal="center"/>
    </xf>
    <xf numFmtId="0" fontId="74" fillId="33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74" fillId="0" borderId="18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0" xfId="0" applyFont="1" applyAlignment="1">
      <alignment horizontal="left"/>
    </xf>
    <xf numFmtId="0" fontId="74" fillId="0" borderId="21" xfId="0" applyFont="1" applyBorder="1" applyAlignment="1">
      <alignment horizontal="left"/>
    </xf>
    <xf numFmtId="0" fontId="74" fillId="0" borderId="10" xfId="0" applyFont="1" applyBorder="1" applyAlignment="1">
      <alignment horizontal="center"/>
    </xf>
    <xf numFmtId="0" fontId="74" fillId="0" borderId="0" xfId="0" applyFont="1" applyAlignment="1">
      <alignment horizontal="center" vertical="center"/>
    </xf>
    <xf numFmtId="174" fontId="74" fillId="0" borderId="0" xfId="0" applyNumberFormat="1" applyFont="1" applyAlignment="1">
      <alignment horizontal="center"/>
    </xf>
    <xf numFmtId="0" fontId="75" fillId="0" borderId="0" xfId="0" applyFont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172" fontId="74" fillId="0" borderId="0" xfId="0" applyNumberFormat="1" applyFont="1" applyAlignment="1">
      <alignment horizontal="center"/>
    </xf>
    <xf numFmtId="0" fontId="74" fillId="0" borderId="0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4" fillId="33" borderId="0" xfId="0" applyFont="1" applyFill="1" applyAlignment="1">
      <alignment horizontal="left"/>
    </xf>
    <xf numFmtId="0" fontId="74" fillId="0" borderId="0" xfId="0" applyFont="1" applyAlignment="1">
      <alignment horizontal="right"/>
    </xf>
    <xf numFmtId="0" fontId="74" fillId="0" borderId="0" xfId="0" applyFont="1" applyBorder="1" applyAlignment="1">
      <alignment horizontal="left"/>
    </xf>
    <xf numFmtId="0" fontId="74" fillId="0" borderId="21" xfId="0" applyFont="1" applyBorder="1" applyAlignment="1">
      <alignment horizontal="left" vertical="center"/>
    </xf>
    <xf numFmtId="0" fontId="7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1" xfId="0" applyBorder="1" applyAlignment="1">
      <alignment/>
    </xf>
    <xf numFmtId="0" fontId="77" fillId="0" borderId="21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4" fillId="0" borderId="21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6" fillId="0" borderId="0" xfId="0" applyFont="1" applyAlignment="1">
      <alignment/>
    </xf>
    <xf numFmtId="0" fontId="75" fillId="0" borderId="0" xfId="0" applyFont="1" applyAlignment="1">
      <alignment horizontal="left"/>
    </xf>
    <xf numFmtId="172" fontId="74" fillId="0" borderId="0" xfId="0" applyNumberFormat="1" applyFont="1" applyAlignment="1">
      <alignment horizontal="center" vertical="center"/>
    </xf>
    <xf numFmtId="172" fontId="74" fillId="0" borderId="11" xfId="0" applyNumberFormat="1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21" xfId="0" applyFont="1" applyBorder="1" applyAlignment="1">
      <alignment/>
    </xf>
    <xf numFmtId="0" fontId="75" fillId="0" borderId="0" xfId="0" applyFont="1" applyBorder="1" applyAlignment="1">
      <alignment horizontal="center"/>
    </xf>
    <xf numFmtId="0" fontId="75" fillId="0" borderId="21" xfId="0" applyFont="1" applyBorder="1" applyAlignment="1">
      <alignment horizontal="center"/>
    </xf>
    <xf numFmtId="0" fontId="76" fillId="0" borderId="0" xfId="0" applyFont="1" applyBorder="1" applyAlignment="1">
      <alignment vertical="center"/>
    </xf>
    <xf numFmtId="172" fontId="74" fillId="0" borderId="0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8" fillId="0" borderId="11" xfId="0" applyFont="1" applyBorder="1" applyAlignment="1">
      <alignment horizontal="center" vertical="top"/>
    </xf>
    <xf numFmtId="0" fontId="78" fillId="0" borderId="10" xfId="0" applyFont="1" applyBorder="1" applyAlignment="1">
      <alignment horizontal="left" vertical="top"/>
    </xf>
    <xf numFmtId="0" fontId="75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right" vertical="center"/>
    </xf>
    <xf numFmtId="0" fontId="74" fillId="0" borderId="10" xfId="0" applyFont="1" applyBorder="1" applyAlignment="1">
      <alignment horizontal="right"/>
    </xf>
    <xf numFmtId="0" fontId="74" fillId="0" borderId="0" xfId="0" applyFont="1" applyAlignment="1">
      <alignment horizontal="left"/>
    </xf>
    <xf numFmtId="0" fontId="74" fillId="35" borderId="0" xfId="0" applyFont="1" applyFill="1" applyAlignment="1">
      <alignment horizontal="right"/>
    </xf>
    <xf numFmtId="0" fontId="74" fillId="35" borderId="22" xfId="0" applyFont="1" applyFill="1" applyBorder="1" applyAlignment="1">
      <alignment horizontal="right"/>
    </xf>
    <xf numFmtId="0" fontId="74" fillId="35" borderId="21" xfId="0" applyFont="1" applyFill="1" applyBorder="1" applyAlignment="1">
      <alignment horizontal="right"/>
    </xf>
    <xf numFmtId="0" fontId="74" fillId="35" borderId="0" xfId="0" applyFont="1" applyFill="1" applyBorder="1" applyAlignment="1">
      <alignment horizontal="right"/>
    </xf>
    <xf numFmtId="0" fontId="74" fillId="35" borderId="0" xfId="0" applyFont="1" applyFill="1" applyAlignment="1">
      <alignment horizontal="left"/>
    </xf>
    <xf numFmtId="0" fontId="74" fillId="0" borderId="0" xfId="0" applyFont="1" applyFill="1" applyAlignment="1">
      <alignment horizontal="left"/>
    </xf>
    <xf numFmtId="0" fontId="79" fillId="0" borderId="0" xfId="0" applyFont="1" applyAlignment="1">
      <alignment/>
    </xf>
    <xf numFmtId="0" fontId="79" fillId="0" borderId="21" xfId="0" applyFont="1" applyBorder="1" applyAlignment="1">
      <alignment/>
    </xf>
    <xf numFmtId="0" fontId="79" fillId="0" borderId="0" xfId="0" applyFont="1" applyAlignment="1">
      <alignment vertical="center"/>
    </xf>
    <xf numFmtId="0" fontId="79" fillId="0" borderId="21" xfId="0" applyFont="1" applyBorder="1" applyAlignment="1">
      <alignment vertical="center"/>
    </xf>
    <xf numFmtId="0" fontId="74" fillId="35" borderId="0" xfId="0" applyFont="1" applyFill="1" applyBorder="1" applyAlignment="1">
      <alignment/>
    </xf>
    <xf numFmtId="0" fontId="74" fillId="35" borderId="21" xfId="0" applyFont="1" applyFill="1" applyBorder="1" applyAlignment="1">
      <alignment/>
    </xf>
    <xf numFmtId="0" fontId="69" fillId="0" borderId="18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174" fontId="74" fillId="0" borderId="0" xfId="0" applyNumberFormat="1" applyFont="1" applyAlignment="1">
      <alignment horizontal="center"/>
    </xf>
    <xf numFmtId="0" fontId="74" fillId="0" borderId="0" xfId="0" applyFont="1" applyAlignment="1">
      <alignment horizontal="left"/>
    </xf>
    <xf numFmtId="174" fontId="74" fillId="0" borderId="0" xfId="0" applyNumberFormat="1" applyFont="1" applyAlignment="1">
      <alignment horizontal="left"/>
    </xf>
    <xf numFmtId="0" fontId="74" fillId="0" borderId="0" xfId="0" applyFont="1" applyAlignment="1">
      <alignment horizontal="center" vertical="center"/>
    </xf>
    <xf numFmtId="0" fontId="74" fillId="0" borderId="11" xfId="0" applyFont="1" applyBorder="1" applyAlignment="1">
      <alignment horizontal="center"/>
    </xf>
    <xf numFmtId="0" fontId="75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4" fillId="0" borderId="0" xfId="0" applyFont="1" applyAlignment="1">
      <alignment horizontal="right" vertical="center"/>
    </xf>
    <xf numFmtId="0" fontId="74" fillId="0" borderId="21" xfId="0" applyFont="1" applyBorder="1" applyAlignment="1">
      <alignment horizontal="left"/>
    </xf>
    <xf numFmtId="0" fontId="74" fillId="0" borderId="0" xfId="0" applyFont="1" applyBorder="1" applyAlignment="1">
      <alignment horizontal="center"/>
    </xf>
    <xf numFmtId="0" fontId="74" fillId="33" borderId="0" xfId="0" applyFont="1" applyFill="1" applyAlignment="1">
      <alignment horizontal="right"/>
    </xf>
    <xf numFmtId="0" fontId="74" fillId="0" borderId="11" xfId="0" applyFont="1" applyBorder="1" applyAlignment="1">
      <alignment horizontal="center" vertical="center"/>
    </xf>
    <xf numFmtId="0" fontId="74" fillId="33" borderId="0" xfId="0" applyFont="1" applyFill="1" applyAlignment="1">
      <alignment horizontal="center"/>
    </xf>
    <xf numFmtId="0" fontId="77" fillId="36" borderId="0" xfId="0" applyFont="1" applyFill="1" applyAlignment="1">
      <alignment horizontal="center"/>
    </xf>
    <xf numFmtId="0" fontId="74" fillId="33" borderId="0" xfId="0" applyFont="1" applyFill="1" applyBorder="1" applyAlignment="1">
      <alignment horizontal="right"/>
    </xf>
    <xf numFmtId="0" fontId="77" fillId="3" borderId="0" xfId="0" applyFont="1" applyFill="1" applyAlignment="1">
      <alignment horizontal="center"/>
    </xf>
    <xf numFmtId="0" fontId="74" fillId="0" borderId="0" xfId="0" applyFont="1" applyBorder="1" applyAlignment="1">
      <alignment horizontal="left"/>
    </xf>
    <xf numFmtId="0" fontId="77" fillId="15" borderId="0" xfId="0" applyFont="1" applyFill="1" applyBorder="1" applyAlignment="1">
      <alignment horizontal="center"/>
    </xf>
    <xf numFmtId="0" fontId="74" fillId="0" borderId="0" xfId="0" applyFont="1" applyBorder="1" applyAlignment="1">
      <alignment horizontal="center" vertical="center"/>
    </xf>
    <xf numFmtId="172" fontId="74" fillId="0" borderId="0" xfId="0" applyNumberFormat="1" applyFont="1" applyAlignment="1">
      <alignment horizontal="center"/>
    </xf>
    <xf numFmtId="0" fontId="74" fillId="0" borderId="0" xfId="0" applyFont="1" applyAlignment="1">
      <alignment horizontal="right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0" xfId="0" applyFont="1" applyAlignment="1">
      <alignment horizontal="left"/>
    </xf>
    <xf numFmtId="0" fontId="74" fillId="0" borderId="21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0" fontId="74" fillId="0" borderId="0" xfId="0" applyFont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/>
    </xf>
    <xf numFmtId="0" fontId="74" fillId="0" borderId="0" xfId="0" applyFont="1" applyBorder="1" applyAlignment="1">
      <alignment horizontal="center" vertical="center"/>
    </xf>
    <xf numFmtId="0" fontId="78" fillId="0" borderId="11" xfId="0" applyFont="1" applyBorder="1" applyAlignment="1">
      <alignment horizontal="left" vertical="top"/>
    </xf>
    <xf numFmtId="0" fontId="69" fillId="0" borderId="22" xfId="0" applyFont="1" applyFill="1" applyBorder="1" applyAlignment="1">
      <alignment horizontal="center" vertical="center" wrapText="1"/>
    </xf>
    <xf numFmtId="0" fontId="80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0" fillId="0" borderId="16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18" xfId="0" applyFont="1" applyBorder="1" applyAlignment="1">
      <alignment/>
    </xf>
    <xf numFmtId="0" fontId="81" fillId="0" borderId="0" xfId="0" applyFont="1" applyAlignment="1">
      <alignment horizontal="right"/>
    </xf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center" vertical="center"/>
    </xf>
    <xf numFmtId="0" fontId="73" fillId="0" borderId="0" xfId="0" applyFont="1" applyAlignment="1">
      <alignment/>
    </xf>
    <xf numFmtId="0" fontId="81" fillId="0" borderId="0" xfId="0" applyFont="1" applyAlignment="1">
      <alignment horizontal="right" vertical="center"/>
    </xf>
    <xf numFmtId="0" fontId="82" fillId="0" borderId="0" xfId="0" applyFont="1" applyAlignment="1">
      <alignment horizontal="center"/>
    </xf>
    <xf numFmtId="0" fontId="82" fillId="0" borderId="0" xfId="0" applyFont="1" applyAlignment="1">
      <alignment horizontal="center" vertical="center"/>
    </xf>
    <xf numFmtId="9" fontId="81" fillId="0" borderId="0" xfId="0" applyNumberFormat="1" applyFont="1" applyAlignment="1">
      <alignment/>
    </xf>
    <xf numFmtId="0" fontId="74" fillId="0" borderId="0" xfId="0" applyFont="1" applyAlignment="1">
      <alignment horizontal="center"/>
    </xf>
    <xf numFmtId="0" fontId="74" fillId="0" borderId="10" xfId="0" applyFont="1" applyBorder="1" applyAlignment="1">
      <alignment horizontal="center"/>
    </xf>
    <xf numFmtId="0" fontId="74" fillId="0" borderId="0" xfId="0" applyFont="1" applyAlignment="1">
      <alignment horizontal="left"/>
    </xf>
    <xf numFmtId="0" fontId="77" fillId="0" borderId="0" xfId="0" applyFont="1" applyAlignment="1">
      <alignment vertical="center"/>
    </xf>
    <xf numFmtId="0" fontId="77" fillId="0" borderId="0" xfId="0" applyFont="1" applyAlignment="1">
      <alignment/>
    </xf>
    <xf numFmtId="0" fontId="77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66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3" fillId="0" borderId="18" xfId="0" applyFont="1" applyBorder="1" applyAlignment="1">
      <alignment horizontal="center"/>
    </xf>
    <xf numFmtId="0" fontId="84" fillId="36" borderId="0" xfId="0" applyFont="1" applyFill="1" applyAlignment="1">
      <alignment horizontal="center" vertical="center"/>
    </xf>
    <xf numFmtId="0" fontId="85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6" fillId="33" borderId="0" xfId="0" applyFont="1" applyFill="1" applyAlignment="1">
      <alignment horizontal="center"/>
    </xf>
    <xf numFmtId="0" fontId="66" fillId="33" borderId="0" xfId="0" applyFont="1" applyFill="1" applyAlignment="1">
      <alignment horizontal="right"/>
    </xf>
    <xf numFmtId="0" fontId="66" fillId="33" borderId="0" xfId="0" applyFont="1" applyFill="1" applyAlignment="1">
      <alignment horizontal="center"/>
    </xf>
    <xf numFmtId="0" fontId="66" fillId="0" borderId="0" xfId="0" applyFont="1" applyAlignment="1">
      <alignment horizontal="left"/>
    </xf>
    <xf numFmtId="172" fontId="66" fillId="0" borderId="0" xfId="0" applyNumberFormat="1" applyFont="1" applyAlignment="1">
      <alignment horizontal="center"/>
    </xf>
    <xf numFmtId="0" fontId="0" fillId="35" borderId="0" xfId="0" applyFill="1" applyAlignment="1">
      <alignment horizontal="right"/>
    </xf>
    <xf numFmtId="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81" fillId="0" borderId="0" xfId="0" applyFont="1" applyAlignment="1">
      <alignment horizontal="right"/>
    </xf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0" fontId="87" fillId="0" borderId="0" xfId="0" applyFont="1" applyFill="1" applyAlignment="1">
      <alignment horizontal="left"/>
    </xf>
    <xf numFmtId="0" fontId="81" fillId="33" borderId="0" xfId="0" applyFont="1" applyFill="1" applyAlignment="1">
      <alignment horizontal="right"/>
    </xf>
    <xf numFmtId="0" fontId="81" fillId="0" borderId="23" xfId="0" applyFont="1" applyBorder="1" applyAlignment="1">
      <alignment horizontal="center" vertical="center"/>
    </xf>
    <xf numFmtId="0" fontId="81" fillId="0" borderId="25" xfId="0" applyFont="1" applyBorder="1" applyAlignment="1">
      <alignment horizontal="center" vertical="center"/>
    </xf>
    <xf numFmtId="0" fontId="81" fillId="0" borderId="0" xfId="0" applyFont="1" applyAlignment="1">
      <alignment horizontal="left" vertical="center"/>
    </xf>
    <xf numFmtId="172" fontId="81" fillId="0" borderId="0" xfId="0" applyNumberFormat="1" applyFont="1" applyAlignment="1">
      <alignment horizontal="left"/>
    </xf>
    <xf numFmtId="0" fontId="81" fillId="35" borderId="0" xfId="0" applyFont="1" applyFill="1" applyAlignment="1">
      <alignment horizontal="right"/>
    </xf>
    <xf numFmtId="0" fontId="81" fillId="0" borderId="23" xfId="0" applyFont="1" applyBorder="1" applyAlignment="1">
      <alignment horizontal="center"/>
    </xf>
    <xf numFmtId="0" fontId="81" fillId="0" borderId="25" xfId="0" applyFont="1" applyBorder="1" applyAlignment="1">
      <alignment horizontal="center"/>
    </xf>
    <xf numFmtId="0" fontId="87" fillId="36" borderId="0" xfId="0" applyFont="1" applyFill="1" applyAlignment="1">
      <alignment horizontal="center" vertical="center"/>
    </xf>
    <xf numFmtId="0" fontId="81" fillId="0" borderId="24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9" fontId="81" fillId="0" borderId="0" xfId="0" applyNumberFormat="1" applyFont="1" applyAlignment="1">
      <alignment horizontal="center"/>
    </xf>
    <xf numFmtId="0" fontId="77" fillId="0" borderId="21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174" fontId="77" fillId="0" borderId="0" xfId="0" applyNumberFormat="1" applyFont="1" applyAlignment="1">
      <alignment horizontal="center"/>
    </xf>
    <xf numFmtId="0" fontId="74" fillId="0" borderId="0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7" fillId="0" borderId="0" xfId="0" applyFont="1" applyAlignment="1">
      <alignment horizontal="left"/>
    </xf>
    <xf numFmtId="0" fontId="74" fillId="0" borderId="21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174" fontId="77" fillId="0" borderId="0" xfId="0" applyNumberFormat="1" applyFont="1" applyBorder="1" applyAlignment="1">
      <alignment horizontal="center"/>
    </xf>
    <xf numFmtId="0" fontId="77" fillId="0" borderId="21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4" fillId="0" borderId="0" xfId="0" applyFont="1" applyAlignment="1">
      <alignment horizontal="center"/>
    </xf>
    <xf numFmtId="174" fontId="74" fillId="0" borderId="0" xfId="0" applyNumberFormat="1" applyFont="1" applyAlignment="1">
      <alignment horizontal="center"/>
    </xf>
    <xf numFmtId="0" fontId="75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174" fontId="74" fillId="0" borderId="0" xfId="0" applyNumberFormat="1" applyFont="1" applyAlignment="1">
      <alignment horizontal="left"/>
    </xf>
    <xf numFmtId="0" fontId="74" fillId="0" borderId="0" xfId="0" applyFont="1" applyAlignment="1">
      <alignment horizontal="center" vertical="center"/>
    </xf>
    <xf numFmtId="175" fontId="74" fillId="0" borderId="0" xfId="0" applyNumberFormat="1" applyFont="1" applyAlignment="1">
      <alignment horizontal="center"/>
    </xf>
    <xf numFmtId="0" fontId="74" fillId="0" borderId="21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0" xfId="0" applyFont="1" applyBorder="1" applyAlignment="1">
      <alignment horizontal="center"/>
    </xf>
    <xf numFmtId="0" fontId="77" fillId="37" borderId="0" xfId="0" applyFont="1" applyFill="1" applyAlignment="1">
      <alignment horizontal="center"/>
    </xf>
    <xf numFmtId="0" fontId="77" fillId="38" borderId="21" xfId="0" applyFont="1" applyFill="1" applyBorder="1" applyAlignment="1">
      <alignment horizontal="center"/>
    </xf>
    <xf numFmtId="0" fontId="77" fillId="38" borderId="0" xfId="0" applyFont="1" applyFill="1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4" fillId="0" borderId="0" xfId="0" applyFont="1" applyAlignment="1">
      <alignment horizontal="right" vertical="center"/>
    </xf>
    <xf numFmtId="0" fontId="74" fillId="35" borderId="21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0" fontId="74" fillId="0" borderId="23" xfId="0" applyFont="1" applyBorder="1" applyAlignment="1">
      <alignment horizontal="center"/>
    </xf>
    <xf numFmtId="0" fontId="74" fillId="0" borderId="25" xfId="0" applyFont="1" applyBorder="1" applyAlignment="1">
      <alignment horizontal="center"/>
    </xf>
    <xf numFmtId="0" fontId="75" fillId="0" borderId="0" xfId="0" applyFont="1" applyAlignment="1">
      <alignment horizontal="center" vertical="center"/>
    </xf>
    <xf numFmtId="0" fontId="74" fillId="0" borderId="21" xfId="0" applyFont="1" applyBorder="1" applyAlignment="1">
      <alignment horizontal="center"/>
    </xf>
    <xf numFmtId="0" fontId="77" fillId="19" borderId="0" xfId="0" applyFont="1" applyFill="1" applyAlignment="1">
      <alignment horizontal="center"/>
    </xf>
    <xf numFmtId="0" fontId="77" fillId="15" borderId="0" xfId="0" applyFont="1" applyFill="1" applyAlignment="1">
      <alignment horizontal="center"/>
    </xf>
    <xf numFmtId="0" fontId="74" fillId="33" borderId="21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74" fillId="0" borderId="24" xfId="0" applyFont="1" applyBorder="1" applyAlignment="1">
      <alignment horizontal="center"/>
    </xf>
    <xf numFmtId="0" fontId="74" fillId="33" borderId="0" xfId="0" applyFont="1" applyFill="1" applyAlignment="1">
      <alignment horizontal="center"/>
    </xf>
    <xf numFmtId="0" fontId="74" fillId="0" borderId="18" xfId="0" applyFont="1" applyBorder="1" applyAlignment="1">
      <alignment horizontal="center"/>
    </xf>
    <xf numFmtId="0" fontId="77" fillId="39" borderId="21" xfId="0" applyFont="1" applyFill="1" applyBorder="1" applyAlignment="1">
      <alignment horizontal="center"/>
    </xf>
    <xf numFmtId="0" fontId="77" fillId="39" borderId="0" xfId="0" applyFont="1" applyFill="1" applyBorder="1" applyAlignment="1">
      <alignment horizontal="center"/>
    </xf>
    <xf numFmtId="0" fontId="74" fillId="33" borderId="0" xfId="0" applyFont="1" applyFill="1" applyAlignment="1">
      <alignment horizontal="right"/>
    </xf>
    <xf numFmtId="0" fontId="74" fillId="0" borderId="0" xfId="0" applyNumberFormat="1" applyFont="1" applyAlignment="1">
      <alignment horizontal="center"/>
    </xf>
    <xf numFmtId="0" fontId="77" fillId="40" borderId="0" xfId="0" applyFont="1" applyFill="1" applyAlignment="1">
      <alignment horizontal="center"/>
    </xf>
    <xf numFmtId="2" fontId="74" fillId="0" borderId="0" xfId="0" applyNumberFormat="1" applyFont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7" fillId="3" borderId="0" xfId="0" applyFont="1" applyFill="1" applyAlignment="1">
      <alignment horizontal="center"/>
    </xf>
    <xf numFmtId="0" fontId="77" fillId="9" borderId="21" xfId="0" applyFont="1" applyFill="1" applyBorder="1" applyAlignment="1">
      <alignment horizontal="center"/>
    </xf>
    <xf numFmtId="0" fontId="77" fillId="9" borderId="0" xfId="0" applyFont="1" applyFill="1" applyBorder="1" applyAlignment="1">
      <alignment horizontal="center"/>
    </xf>
    <xf numFmtId="0" fontId="77" fillId="15" borderId="21" xfId="0" applyFont="1" applyFill="1" applyBorder="1" applyAlignment="1">
      <alignment horizontal="center"/>
    </xf>
    <xf numFmtId="0" fontId="77" fillId="15" borderId="0" xfId="0" applyFont="1" applyFill="1" applyBorder="1" applyAlignment="1">
      <alignment horizontal="center"/>
    </xf>
    <xf numFmtId="2" fontId="74" fillId="0" borderId="0" xfId="0" applyNumberFormat="1" applyFont="1" applyAlignment="1">
      <alignment horizontal="center"/>
    </xf>
    <xf numFmtId="0" fontId="77" fillId="11" borderId="21" xfId="0" applyFont="1" applyFill="1" applyBorder="1" applyAlignment="1">
      <alignment horizontal="center"/>
    </xf>
    <xf numFmtId="0" fontId="77" fillId="11" borderId="0" xfId="0" applyFont="1" applyFill="1" applyBorder="1" applyAlignment="1">
      <alignment horizontal="center"/>
    </xf>
    <xf numFmtId="0" fontId="77" fillId="11" borderId="0" xfId="0" applyFont="1" applyFill="1" applyAlignment="1">
      <alignment horizontal="center"/>
    </xf>
    <xf numFmtId="0" fontId="77" fillId="36" borderId="0" xfId="0" applyFont="1" applyFill="1" applyAlignment="1">
      <alignment horizontal="center"/>
    </xf>
    <xf numFmtId="0" fontId="74" fillId="33" borderId="0" xfId="0" applyFont="1" applyFill="1" applyBorder="1" applyAlignment="1">
      <alignment horizontal="right"/>
    </xf>
    <xf numFmtId="0" fontId="77" fillId="39" borderId="0" xfId="0" applyFont="1" applyFill="1" applyAlignment="1">
      <alignment horizontal="center"/>
    </xf>
    <xf numFmtId="0" fontId="74" fillId="0" borderId="21" xfId="0" applyFont="1" applyBorder="1" applyAlignment="1">
      <alignment horizontal="right" vertical="center"/>
    </xf>
    <xf numFmtId="0" fontId="74" fillId="33" borderId="26" xfId="0" applyFont="1" applyFill="1" applyBorder="1" applyAlignment="1">
      <alignment horizontal="right"/>
    </xf>
    <xf numFmtId="172" fontId="74" fillId="0" borderId="18" xfId="0" applyNumberFormat="1" applyFont="1" applyBorder="1" applyAlignment="1">
      <alignment horizontal="center"/>
    </xf>
    <xf numFmtId="0" fontId="76" fillId="0" borderId="21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174" fontId="74" fillId="0" borderId="0" xfId="0" applyNumberFormat="1" applyFont="1" applyAlignment="1">
      <alignment horizontal="center" vertical="center"/>
    </xf>
    <xf numFmtId="172" fontId="74" fillId="0" borderId="0" xfId="0" applyNumberFormat="1" applyFont="1" applyAlignment="1">
      <alignment horizontal="center"/>
    </xf>
    <xf numFmtId="172" fontId="74" fillId="0" borderId="0" xfId="0" applyNumberFormat="1" applyFont="1" applyAlignment="1">
      <alignment horizontal="left"/>
    </xf>
    <xf numFmtId="0" fontId="76" fillId="0" borderId="21" xfId="0" applyFont="1" applyBorder="1" applyAlignment="1">
      <alignment horizontal="left" vertical="center"/>
    </xf>
    <xf numFmtId="2" fontId="74" fillId="0" borderId="0" xfId="0" applyNumberFormat="1" applyFont="1" applyBorder="1" applyAlignment="1">
      <alignment horizontal="center" vertical="center"/>
    </xf>
    <xf numFmtId="174" fontId="74" fillId="0" borderId="0" xfId="0" applyNumberFormat="1" applyFont="1" applyBorder="1" applyAlignment="1">
      <alignment horizontal="center" vertical="center"/>
    </xf>
    <xf numFmtId="172" fontId="74" fillId="0" borderId="0" xfId="0" applyNumberFormat="1" applyFont="1" applyBorder="1" applyAlignment="1">
      <alignment horizontal="center"/>
    </xf>
    <xf numFmtId="2" fontId="74" fillId="0" borderId="0" xfId="0" applyNumberFormat="1" applyFont="1" applyBorder="1" applyAlignment="1">
      <alignment horizontal="center"/>
    </xf>
    <xf numFmtId="0" fontId="74" fillId="0" borderId="0" xfId="0" applyFont="1" applyAlignment="1">
      <alignment horizontal="right"/>
    </xf>
    <xf numFmtId="0" fontId="74" fillId="33" borderId="0" xfId="0" applyFont="1" applyFill="1" applyAlignment="1">
      <alignment horizontal="left"/>
    </xf>
    <xf numFmtId="0" fontId="74" fillId="0" borderId="18" xfId="0" applyFont="1" applyFill="1" applyBorder="1" applyAlignment="1">
      <alignment horizontal="center"/>
    </xf>
    <xf numFmtId="0" fontId="74" fillId="0" borderId="23" xfId="0" applyFont="1" applyFill="1" applyBorder="1" applyAlignment="1">
      <alignment horizontal="center"/>
    </xf>
    <xf numFmtId="0" fontId="74" fillId="0" borderId="25" xfId="0" applyFont="1" applyFill="1" applyBorder="1" applyAlignment="1">
      <alignment horizontal="center"/>
    </xf>
    <xf numFmtId="0" fontId="77" fillId="38" borderId="0" xfId="0" applyFont="1" applyFill="1" applyAlignment="1">
      <alignment horizontal="center"/>
    </xf>
    <xf numFmtId="0" fontId="74" fillId="0" borderId="27" xfId="0" applyFont="1" applyBorder="1" applyAlignment="1">
      <alignment horizontal="center"/>
    </xf>
    <xf numFmtId="0" fontId="74" fillId="0" borderId="28" xfId="0" applyFont="1" applyBorder="1" applyAlignment="1">
      <alignment horizontal="center"/>
    </xf>
    <xf numFmtId="172" fontId="74" fillId="0" borderId="23" xfId="0" applyNumberFormat="1" applyFont="1" applyBorder="1" applyAlignment="1">
      <alignment horizontal="center"/>
    </xf>
    <xf numFmtId="172" fontId="74" fillId="0" borderId="25" xfId="0" applyNumberFormat="1" applyFont="1" applyBorder="1" applyAlignment="1">
      <alignment horizontal="center"/>
    </xf>
    <xf numFmtId="0" fontId="74" fillId="33" borderId="21" xfId="0" applyFont="1" applyFill="1" applyBorder="1" applyAlignment="1">
      <alignment horizontal="right"/>
    </xf>
    <xf numFmtId="172" fontId="74" fillId="0" borderId="24" xfId="0" applyNumberFormat="1" applyFont="1" applyBorder="1" applyAlignment="1">
      <alignment horizontal="center"/>
    </xf>
    <xf numFmtId="0" fontId="76" fillId="0" borderId="0" xfId="0" applyFont="1" applyAlignment="1">
      <alignment horizontal="center" vertical="center"/>
    </xf>
    <xf numFmtId="172" fontId="77" fillId="0" borderId="0" xfId="0" applyNumberFormat="1" applyFont="1" applyAlignment="1">
      <alignment horizontal="center"/>
    </xf>
    <xf numFmtId="0" fontId="77" fillId="41" borderId="0" xfId="0" applyFont="1" applyFill="1" applyAlignment="1">
      <alignment horizontal="center"/>
    </xf>
    <xf numFmtId="0" fontId="76" fillId="0" borderId="0" xfId="0" applyFont="1" applyAlignment="1">
      <alignment horizontal="left" vertical="center"/>
    </xf>
    <xf numFmtId="172" fontId="77" fillId="0" borderId="0" xfId="0" applyNumberFormat="1" applyFont="1" applyBorder="1" applyAlignment="1">
      <alignment horizontal="center"/>
    </xf>
    <xf numFmtId="0" fontId="77" fillId="0" borderId="0" xfId="0" applyFont="1" applyAlignment="1">
      <alignment horizontal="center" vertical="center"/>
    </xf>
    <xf numFmtId="0" fontId="77" fillId="16" borderId="0" xfId="0" applyFont="1" applyFill="1" applyAlignment="1">
      <alignment horizontal="center"/>
    </xf>
    <xf numFmtId="0" fontId="74" fillId="0" borderId="0" xfId="0" applyFont="1" applyAlignment="1">
      <alignment horizontal="left" vertical="center"/>
    </xf>
    <xf numFmtId="174" fontId="74" fillId="0" borderId="0" xfId="0" applyNumberFormat="1" applyFont="1" applyBorder="1" applyAlignment="1">
      <alignment horizontal="center"/>
    </xf>
    <xf numFmtId="0" fontId="77" fillId="18" borderId="0" xfId="0" applyFont="1" applyFill="1" applyAlignment="1">
      <alignment horizontal="center"/>
    </xf>
    <xf numFmtId="0" fontId="74" fillId="0" borderId="21" xfId="0" applyFont="1" applyBorder="1" applyAlignment="1">
      <alignment horizontal="center" vertical="center"/>
    </xf>
    <xf numFmtId="0" fontId="74" fillId="33" borderId="21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/>
    </xf>
    <xf numFmtId="0" fontId="77" fillId="4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66" fillId="0" borderId="23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66" fillId="0" borderId="25" xfId="0" applyFont="1" applyBorder="1" applyAlignment="1">
      <alignment horizontal="center"/>
    </xf>
    <xf numFmtId="0" fontId="69" fillId="0" borderId="29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88" fillId="0" borderId="29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57150</xdr:rowOff>
    </xdr:from>
    <xdr:to>
      <xdr:col>19</xdr:col>
      <xdr:colOff>85725</xdr:colOff>
      <xdr:row>56</xdr:row>
      <xdr:rowOff>95250</xdr:rowOff>
    </xdr:to>
    <xdr:grpSp>
      <xdr:nvGrpSpPr>
        <xdr:cNvPr id="1" name="20 Grup"/>
        <xdr:cNvGrpSpPr>
          <a:grpSpLocks/>
        </xdr:cNvGrpSpPr>
      </xdr:nvGrpSpPr>
      <xdr:grpSpPr>
        <a:xfrm>
          <a:off x="3819525" y="381000"/>
          <a:ext cx="514350" cy="9058275"/>
          <a:chOff x="3562350" y="380999"/>
          <a:chExt cx="581025" cy="9242715"/>
        </a:xfrm>
        <a:solidFill>
          <a:srgbClr val="FFFFFF"/>
        </a:solidFill>
      </xdr:grpSpPr>
      <xdr:grpSp>
        <xdr:nvGrpSpPr>
          <xdr:cNvPr id="2" name="12 Grup"/>
          <xdr:cNvGrpSpPr>
            <a:grpSpLocks/>
          </xdr:cNvGrpSpPr>
        </xdr:nvGrpSpPr>
        <xdr:grpSpPr>
          <a:xfrm>
            <a:off x="3562350" y="380999"/>
            <a:ext cx="581025" cy="9097142"/>
            <a:chOff x="3781425" y="380999"/>
            <a:chExt cx="657225" cy="9161490"/>
          </a:xfrm>
          <a:solidFill>
            <a:srgbClr val="FFFFFF"/>
          </a:solidFill>
        </xdr:grpSpPr>
        <xdr:sp>
          <xdr:nvSpPr>
            <xdr:cNvPr id="3" name="1 Dikdörtgen"/>
            <xdr:cNvSpPr>
              <a:spLocks/>
            </xdr:cNvSpPr>
          </xdr:nvSpPr>
          <xdr:spPr>
            <a:xfrm>
              <a:off x="3781425" y="380999"/>
              <a:ext cx="657225" cy="547399"/>
            </a:xfrm>
            <a:prstGeom prst="rect">
              <a:avLst/>
            </a:prstGeom>
            <a:solidFill>
              <a:srgbClr val="000000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grpSp>
          <xdr:nvGrpSpPr>
            <xdr:cNvPr id="4" name="4 Grup"/>
            <xdr:cNvGrpSpPr>
              <a:grpSpLocks/>
            </xdr:cNvGrpSpPr>
          </xdr:nvGrpSpPr>
          <xdr:grpSpPr>
            <a:xfrm>
              <a:off x="3895782" y="1533056"/>
              <a:ext cx="457264" cy="714596"/>
              <a:chOff x="8010525" y="1619250"/>
              <a:chExt cx="457200" cy="638175"/>
            </a:xfrm>
            <a:solidFill>
              <a:srgbClr val="FFFFFF"/>
            </a:solidFill>
          </xdr:grpSpPr>
          <xdr:sp>
            <xdr:nvSpPr>
              <xdr:cNvPr id="5" name="2 Oval"/>
              <xdr:cNvSpPr>
                <a:spLocks/>
              </xdr:cNvSpPr>
            </xdr:nvSpPr>
            <xdr:spPr>
              <a:xfrm>
                <a:off x="8010525" y="1622760"/>
                <a:ext cx="438112" cy="410825"/>
              </a:xfrm>
              <a:prstGeom prst="ellipse">
                <a:avLst/>
              </a:prstGeom>
              <a:solidFill>
                <a:srgbClr val="FFFFFF"/>
              </a:solidFill>
              <a:ln w="25400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3 Oval"/>
              <xdr:cNvSpPr>
                <a:spLocks/>
              </xdr:cNvSpPr>
            </xdr:nvSpPr>
            <xdr:spPr>
              <a:xfrm>
                <a:off x="8017955" y="1832560"/>
                <a:ext cx="450342" cy="428215"/>
              </a:xfrm>
              <a:prstGeom prst="ellipse">
                <a:avLst/>
              </a:prstGeom>
              <a:solidFill>
                <a:srgbClr val="FFFFFF"/>
              </a:solidFill>
              <a:ln w="25400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7" name="6 Düz Bağlayıcı"/>
            <xdr:cNvSpPr>
              <a:spLocks/>
            </xdr:cNvSpPr>
          </xdr:nvSpPr>
          <xdr:spPr>
            <a:xfrm rot="16200000" flipH="1">
              <a:off x="4110038" y="928398"/>
              <a:ext cx="0" cy="606949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8 Düz Bağlayıcı"/>
            <xdr:cNvSpPr>
              <a:spLocks/>
            </xdr:cNvSpPr>
          </xdr:nvSpPr>
          <xdr:spPr>
            <a:xfrm rot="5400000">
              <a:off x="2586755" y="3786783"/>
              <a:ext cx="3083371" cy="1145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14 Düz Bağlayıcı"/>
            <xdr:cNvSpPr>
              <a:spLocks/>
            </xdr:cNvSpPr>
          </xdr:nvSpPr>
          <xdr:spPr>
            <a:xfrm rot="16200000" flipH="1">
              <a:off x="4122196" y="5589306"/>
              <a:ext cx="0" cy="321110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15 Dikdörtgen"/>
            <xdr:cNvSpPr>
              <a:spLocks/>
            </xdr:cNvSpPr>
          </xdr:nvSpPr>
          <xdr:spPr>
            <a:xfrm>
              <a:off x="4012604" y="5335075"/>
              <a:ext cx="219020" cy="254231"/>
            </a:xfrm>
            <a:prstGeom prst="rect">
              <a:avLst/>
            </a:prstGeom>
            <a:solidFill>
              <a:srgbClr val="000000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grpSp>
          <xdr:nvGrpSpPr>
            <xdr:cNvPr id="11" name="16 Grup"/>
            <xdr:cNvGrpSpPr>
              <a:grpSpLocks/>
            </xdr:cNvGrpSpPr>
          </xdr:nvGrpSpPr>
          <xdr:grpSpPr>
            <a:xfrm>
              <a:off x="3905312" y="8798118"/>
              <a:ext cx="457264" cy="744371"/>
              <a:chOff x="8010525" y="1619250"/>
              <a:chExt cx="457200" cy="638175"/>
            </a:xfrm>
            <a:solidFill>
              <a:srgbClr val="FFFFFF"/>
            </a:solidFill>
          </xdr:grpSpPr>
          <xdr:sp>
            <xdr:nvSpPr>
              <xdr:cNvPr id="12" name="17 Oval"/>
              <xdr:cNvSpPr>
                <a:spLocks/>
              </xdr:cNvSpPr>
            </xdr:nvSpPr>
            <xdr:spPr>
              <a:xfrm>
                <a:off x="8010525" y="1619250"/>
                <a:ext cx="438112" cy="411782"/>
              </a:xfrm>
              <a:prstGeom prst="ellipse">
                <a:avLst/>
              </a:prstGeom>
              <a:solidFill>
                <a:srgbClr val="FFFFFF"/>
              </a:solidFill>
              <a:ln w="25400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" name="18 Oval"/>
              <xdr:cNvSpPr>
                <a:spLocks/>
              </xdr:cNvSpPr>
            </xdr:nvSpPr>
            <xdr:spPr>
              <a:xfrm>
                <a:off x="8020583" y="1829210"/>
                <a:ext cx="450342" cy="428694"/>
              </a:xfrm>
              <a:prstGeom prst="ellipse">
                <a:avLst/>
              </a:prstGeom>
              <a:solidFill>
                <a:srgbClr val="FFFFFF"/>
              </a:solidFill>
              <a:ln w="25400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sp>
        <xdr:nvSpPr>
          <xdr:cNvPr id="14" name="19 Düz Bağlayıcı"/>
          <xdr:cNvSpPr>
            <a:spLocks/>
          </xdr:cNvSpPr>
        </xdr:nvSpPr>
        <xdr:spPr>
          <a:xfrm rot="5400000">
            <a:off x="3802459" y="9540530"/>
            <a:ext cx="16515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33"/>
  <sheetViews>
    <sheetView zoomScaleSheetLayoutView="100" zoomScalePageLayoutView="0" workbookViewId="0" topLeftCell="A1">
      <selection activeCell="N26" sqref="N26"/>
    </sheetView>
  </sheetViews>
  <sheetFormatPr defaultColWidth="3.7109375" defaultRowHeight="15" customHeight="1"/>
  <cols>
    <col min="1" max="1" width="3.7109375" style="0" customWidth="1"/>
    <col min="2" max="2" width="5.28125" style="0" customWidth="1"/>
    <col min="3" max="4" width="3.7109375" style="0" customWidth="1"/>
    <col min="5" max="5" width="2.421875" style="0" customWidth="1"/>
    <col min="6" max="6" width="3.421875" style="0" customWidth="1"/>
    <col min="7" max="7" width="1.421875" style="0" customWidth="1"/>
    <col min="8" max="8" width="3.28125" style="0" customWidth="1"/>
    <col min="9" max="9" width="1.7109375" style="0" customWidth="1"/>
    <col min="10" max="10" width="3.7109375" style="0" customWidth="1"/>
    <col min="11" max="11" width="1.7109375" style="0" customWidth="1"/>
    <col min="12" max="12" width="5.57421875" style="0" customWidth="1"/>
    <col min="13" max="13" width="1.7109375" style="0" customWidth="1"/>
    <col min="14" max="14" width="4.7109375" style="0" customWidth="1"/>
    <col min="15" max="15" width="1.7109375" style="0" customWidth="1"/>
    <col min="16" max="16" width="4.57421875" style="0" customWidth="1"/>
    <col min="17" max="17" width="2.00390625" style="0" customWidth="1"/>
    <col min="18" max="19" width="3.7109375" style="0" customWidth="1"/>
    <col min="20" max="20" width="5.8515625" style="0" customWidth="1"/>
  </cols>
  <sheetData>
    <row r="1" spans="1:20" ht="26.2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</row>
    <row r="2" spans="1:20" ht="1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1" ht="15" customHeight="1">
      <c r="A3" s="204" t="s">
        <v>2</v>
      </c>
      <c r="B3" s="204"/>
      <c r="C3" s="204" t="s">
        <v>3</v>
      </c>
      <c r="D3" s="204"/>
      <c r="E3" s="204"/>
      <c r="F3" s="204"/>
      <c r="G3" s="204"/>
      <c r="H3" s="204"/>
      <c r="I3" s="204"/>
      <c r="J3" s="204"/>
      <c r="K3" s="204"/>
      <c r="L3" s="204" t="s">
        <v>4</v>
      </c>
      <c r="M3" s="204"/>
      <c r="N3" s="204"/>
      <c r="O3" s="204"/>
      <c r="P3" s="204"/>
      <c r="Q3" s="204" t="s">
        <v>5</v>
      </c>
      <c r="R3" s="204"/>
      <c r="S3" s="204"/>
      <c r="T3" s="204"/>
      <c r="U3" s="2"/>
    </row>
    <row r="4" spans="1:20" ht="18" customHeight="1">
      <c r="A4" s="202">
        <v>1</v>
      </c>
      <c r="B4" s="202"/>
      <c r="C4" s="202" t="s">
        <v>450</v>
      </c>
      <c r="D4" s="202"/>
      <c r="E4" s="202"/>
      <c r="F4" s="202"/>
      <c r="G4" s="202"/>
      <c r="H4" s="202"/>
      <c r="I4" s="202"/>
      <c r="J4" s="202"/>
      <c r="K4" s="202"/>
      <c r="L4" s="202">
        <v>150</v>
      </c>
      <c r="M4" s="202"/>
      <c r="N4" s="202"/>
      <c r="O4" s="202"/>
      <c r="P4" s="202"/>
      <c r="Q4" s="202"/>
      <c r="R4" s="202"/>
      <c r="S4" s="202"/>
      <c r="T4" s="202"/>
    </row>
    <row r="5" spans="1:20" ht="18" customHeight="1">
      <c r="A5" s="202">
        <v>2</v>
      </c>
      <c r="B5" s="202"/>
      <c r="C5" s="202" t="s">
        <v>451</v>
      </c>
      <c r="D5" s="202"/>
      <c r="E5" s="202"/>
      <c r="F5" s="202"/>
      <c r="G5" s="202"/>
      <c r="H5" s="202"/>
      <c r="I5" s="202"/>
      <c r="J5" s="202"/>
      <c r="K5" s="202"/>
      <c r="L5" s="202">
        <v>150</v>
      </c>
      <c r="M5" s="202"/>
      <c r="N5" s="202"/>
      <c r="O5" s="202"/>
      <c r="P5" s="202"/>
      <c r="Q5" s="202"/>
      <c r="R5" s="202"/>
      <c r="S5" s="202"/>
      <c r="T5" s="202"/>
    </row>
    <row r="6" spans="1:20" ht="18" customHeight="1">
      <c r="A6" s="202">
        <v>3</v>
      </c>
      <c r="B6" s="202"/>
      <c r="C6" s="202" t="s">
        <v>452</v>
      </c>
      <c r="D6" s="202"/>
      <c r="E6" s="202"/>
      <c r="F6" s="202"/>
      <c r="G6" s="202"/>
      <c r="H6" s="202"/>
      <c r="I6" s="202"/>
      <c r="J6" s="202"/>
      <c r="K6" s="202"/>
      <c r="L6" s="202">
        <v>150</v>
      </c>
      <c r="M6" s="202"/>
      <c r="N6" s="202"/>
      <c r="O6" s="202"/>
      <c r="P6" s="202"/>
      <c r="Q6" s="202"/>
      <c r="R6" s="202"/>
      <c r="S6" s="202"/>
      <c r="T6" s="202"/>
    </row>
    <row r="7" spans="1:20" ht="18" customHeight="1">
      <c r="A7" s="202">
        <v>4</v>
      </c>
      <c r="B7" s="202"/>
      <c r="C7" s="202" t="s">
        <v>453</v>
      </c>
      <c r="D7" s="202"/>
      <c r="E7" s="202"/>
      <c r="F7" s="202"/>
      <c r="G7" s="202"/>
      <c r="H7" s="202"/>
      <c r="I7" s="202"/>
      <c r="J7" s="202"/>
      <c r="K7" s="202"/>
      <c r="L7" s="202">
        <v>150</v>
      </c>
      <c r="M7" s="202"/>
      <c r="N7" s="202"/>
      <c r="O7" s="202"/>
      <c r="P7" s="202"/>
      <c r="Q7" s="202"/>
      <c r="R7" s="202"/>
      <c r="S7" s="202"/>
      <c r="T7" s="202"/>
    </row>
    <row r="8" spans="1:20" ht="18" customHeight="1">
      <c r="A8" s="202">
        <v>5</v>
      </c>
      <c r="B8" s="202"/>
      <c r="C8" s="202" t="s">
        <v>454</v>
      </c>
      <c r="D8" s="202"/>
      <c r="E8" s="202"/>
      <c r="F8" s="202"/>
      <c r="G8" s="202"/>
      <c r="H8" s="202"/>
      <c r="I8" s="202"/>
      <c r="J8" s="202"/>
      <c r="K8" s="202"/>
      <c r="L8" s="202">
        <v>100</v>
      </c>
      <c r="M8" s="202"/>
      <c r="N8" s="202"/>
      <c r="O8" s="202"/>
      <c r="P8" s="202"/>
      <c r="Q8" s="202"/>
      <c r="R8" s="202"/>
      <c r="S8" s="202"/>
      <c r="T8" s="202"/>
    </row>
    <row r="9" spans="1:20" ht="18" customHeight="1">
      <c r="A9" s="202">
        <v>6</v>
      </c>
      <c r="B9" s="202"/>
      <c r="C9" s="202" t="s">
        <v>455</v>
      </c>
      <c r="D9" s="202"/>
      <c r="E9" s="202"/>
      <c r="F9" s="202"/>
      <c r="G9" s="202"/>
      <c r="H9" s="202"/>
      <c r="I9" s="202"/>
      <c r="J9" s="202"/>
      <c r="K9" s="202"/>
      <c r="L9" s="202">
        <v>100</v>
      </c>
      <c r="M9" s="202"/>
      <c r="N9" s="202"/>
      <c r="O9" s="202"/>
      <c r="P9" s="202"/>
      <c r="Q9" s="202"/>
      <c r="R9" s="202"/>
      <c r="S9" s="202"/>
      <c r="T9" s="202"/>
    </row>
    <row r="10" spans="1:20" ht="18" customHeight="1">
      <c r="A10" s="202">
        <v>7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</row>
    <row r="11" spans="1:20" ht="18" customHeight="1">
      <c r="A11" s="202">
        <v>8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</row>
    <row r="12" spans="1:20" ht="18" customHeight="1">
      <c r="A12" s="202">
        <v>9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</row>
    <row r="13" spans="1:20" ht="18" customHeight="1">
      <c r="A13" s="202">
        <v>10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</row>
    <row r="14" spans="1:20" ht="18" customHeight="1">
      <c r="A14" s="202">
        <v>11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</row>
    <row r="15" spans="1:20" ht="18" customHeight="1">
      <c r="A15" s="202">
        <v>12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</row>
    <row r="16" spans="1:20" ht="18" customHeight="1">
      <c r="A16" s="202">
        <v>13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</row>
    <row r="17" spans="1:20" ht="17.25" customHeight="1">
      <c r="A17" s="202">
        <v>14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</row>
    <row r="18" spans="1:20" ht="18" customHeight="1">
      <c r="A18" s="202">
        <v>15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</row>
    <row r="19" spans="1:20" ht="18" customHeight="1">
      <c r="A19" s="202">
        <v>16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</row>
    <row r="20" spans="1:20" ht="18" customHeight="1">
      <c r="A20" s="202">
        <v>17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</row>
    <row r="21" spans="1:20" ht="15" customHeight="1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</row>
    <row r="22" spans="5:18" ht="15" customHeight="1">
      <c r="E22" s="198" t="s">
        <v>8</v>
      </c>
      <c r="F22" s="198"/>
      <c r="G22" s="198"/>
      <c r="H22" s="198"/>
      <c r="I22" s="198"/>
      <c r="J22" s="198"/>
      <c r="K22" s="198"/>
      <c r="L22" s="201">
        <f>SUM(L4:L20)</f>
        <v>800</v>
      </c>
      <c r="M22" s="201"/>
      <c r="N22" s="201"/>
      <c r="O22" s="201"/>
      <c r="P22" s="201"/>
      <c r="Q22" s="209" t="s">
        <v>1</v>
      </c>
      <c r="R22" s="209"/>
    </row>
    <row r="23" spans="1:20" ht="15" customHeight="1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</row>
    <row r="24" spans="2:7" ht="15" customHeight="1">
      <c r="B24" s="211" t="s">
        <v>14</v>
      </c>
      <c r="C24" s="211"/>
      <c r="D24" s="211"/>
      <c r="E24" s="211"/>
      <c r="F24" s="212">
        <v>0.1</v>
      </c>
      <c r="G24" s="213"/>
    </row>
    <row r="25" spans="2:7" ht="15" customHeight="1">
      <c r="B25" s="211" t="s">
        <v>15</v>
      </c>
      <c r="C25" s="211"/>
      <c r="D25" s="211"/>
      <c r="E25" s="211"/>
      <c r="F25" s="214">
        <v>1</v>
      </c>
      <c r="G25" s="215"/>
    </row>
    <row r="26" spans="2:40" ht="15" customHeight="1">
      <c r="B26" s="211" t="s">
        <v>13</v>
      </c>
      <c r="C26" s="211"/>
      <c r="D26" s="211"/>
      <c r="E26" s="211"/>
      <c r="F26" s="213">
        <v>0.99</v>
      </c>
      <c r="G26" s="213"/>
      <c r="AN26" s="7"/>
    </row>
    <row r="27" spans="1:20" ht="15" customHeight="1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</row>
    <row r="28" spans="2:16" ht="15" customHeight="1">
      <c r="B28" s="199" t="s">
        <v>6</v>
      </c>
      <c r="C28" s="199"/>
      <c r="D28" s="199"/>
      <c r="E28" s="200" t="s">
        <v>7</v>
      </c>
      <c r="F28" s="5" t="s">
        <v>9</v>
      </c>
      <c r="G28" s="9" t="s">
        <v>10</v>
      </c>
      <c r="H28" s="5" t="s">
        <v>11</v>
      </c>
      <c r="I28" s="9" t="s">
        <v>10</v>
      </c>
      <c r="J28" s="1">
        <v>1.1</v>
      </c>
      <c r="K28" s="200" t="s">
        <v>7</v>
      </c>
      <c r="L28" s="6">
        <f>L22</f>
        <v>800</v>
      </c>
      <c r="M28" s="10" t="s">
        <v>10</v>
      </c>
      <c r="N28" s="6">
        <f>F25</f>
        <v>1</v>
      </c>
      <c r="O28" s="10" t="s">
        <v>10</v>
      </c>
      <c r="P28" s="6">
        <v>1.1</v>
      </c>
    </row>
    <row r="29" spans="2:15" ht="15" customHeight="1">
      <c r="B29" s="199"/>
      <c r="C29" s="199"/>
      <c r="D29" s="199"/>
      <c r="E29" s="200"/>
      <c r="F29" s="3"/>
      <c r="G29" s="197" t="s">
        <v>12</v>
      </c>
      <c r="H29" s="197"/>
      <c r="I29" s="197"/>
      <c r="J29" s="4"/>
      <c r="K29" s="200"/>
      <c r="M29" s="197">
        <f>F26</f>
        <v>0.99</v>
      </c>
      <c r="N29" s="197"/>
      <c r="O29" s="197"/>
    </row>
    <row r="30" spans="1:20" ht="15" customHeight="1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</row>
    <row r="31" spans="3:13" ht="15" customHeight="1">
      <c r="C31" s="198" t="s">
        <v>16</v>
      </c>
      <c r="D31" s="198"/>
      <c r="E31" s="198"/>
      <c r="F31" s="198"/>
      <c r="G31" s="210">
        <f>(L22*F25*1.1)/F26</f>
        <v>888.888888888889</v>
      </c>
      <c r="H31" s="210"/>
      <c r="I31" s="210"/>
      <c r="J31" s="210"/>
      <c r="K31" s="210"/>
      <c r="L31" s="209" t="s">
        <v>20</v>
      </c>
      <c r="M31" s="209"/>
    </row>
    <row r="32" spans="1:20" ht="15" customHeight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</row>
    <row r="33" spans="1:20" ht="15" customHeight="1">
      <c r="A33" s="207" t="s">
        <v>17</v>
      </c>
      <c r="B33" s="207"/>
      <c r="C33" s="207"/>
      <c r="D33" s="206">
        <f>INDEX(TGK!A1:A19,MATCH(G31,TGK!A1:A19,-1),1)</f>
        <v>1000</v>
      </c>
      <c r="E33" s="206"/>
      <c r="F33" s="206"/>
      <c r="G33" s="208" t="s">
        <v>18</v>
      </c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</row>
  </sheetData>
  <sheetProtection/>
  <mergeCells count="99">
    <mergeCell ref="F26:G26"/>
    <mergeCell ref="M29:O29"/>
    <mergeCell ref="A32:T32"/>
    <mergeCell ref="E22:K22"/>
    <mergeCell ref="L22:P22"/>
    <mergeCell ref="Q22:R22"/>
    <mergeCell ref="G31:K31"/>
    <mergeCell ref="L31:M31"/>
    <mergeCell ref="B24:E24"/>
    <mergeCell ref="B25:E25"/>
    <mergeCell ref="B26:E26"/>
    <mergeCell ref="F24:G24"/>
    <mergeCell ref="A16:B16"/>
    <mergeCell ref="A17:B17"/>
    <mergeCell ref="A18:B18"/>
    <mergeCell ref="A19:B19"/>
    <mergeCell ref="A20:B20"/>
    <mergeCell ref="C20:K20"/>
    <mergeCell ref="D33:F33"/>
    <mergeCell ref="A33:C33"/>
    <mergeCell ref="G33:T33"/>
    <mergeCell ref="A3:B3"/>
    <mergeCell ref="C3:K3"/>
    <mergeCell ref="L3:P3"/>
    <mergeCell ref="C5:K5"/>
    <mergeCell ref="C6:K6"/>
    <mergeCell ref="C7:K7"/>
    <mergeCell ref="C8:K8"/>
    <mergeCell ref="A10:B10"/>
    <mergeCell ref="A11:B11"/>
    <mergeCell ref="A12:B12"/>
    <mergeCell ref="A13:B13"/>
    <mergeCell ref="A14:B14"/>
    <mergeCell ref="C4:K4"/>
    <mergeCell ref="A1:T1"/>
    <mergeCell ref="Q3:T3"/>
    <mergeCell ref="A2:T2"/>
    <mergeCell ref="A15:B15"/>
    <mergeCell ref="A4:B4"/>
    <mergeCell ref="A5:B5"/>
    <mergeCell ref="A6:B6"/>
    <mergeCell ref="A7:B7"/>
    <mergeCell ref="A8:B8"/>
    <mergeCell ref="A9:B9"/>
    <mergeCell ref="C14:K14"/>
    <mergeCell ref="C15:K15"/>
    <mergeCell ref="C16:K16"/>
    <mergeCell ref="C17:K17"/>
    <mergeCell ref="C18:K18"/>
    <mergeCell ref="C9:K9"/>
    <mergeCell ref="C10:K10"/>
    <mergeCell ref="C11:K11"/>
    <mergeCell ref="C12:K12"/>
    <mergeCell ref="C13:K13"/>
    <mergeCell ref="L12:P12"/>
    <mergeCell ref="L13:P13"/>
    <mergeCell ref="L14:P14"/>
    <mergeCell ref="L16:P16"/>
    <mergeCell ref="L17:P17"/>
    <mergeCell ref="L18:P18"/>
    <mergeCell ref="C19:K19"/>
    <mergeCell ref="L15:P15"/>
    <mergeCell ref="L4:P4"/>
    <mergeCell ref="L5:P5"/>
    <mergeCell ref="L6:P6"/>
    <mergeCell ref="L7:P7"/>
    <mergeCell ref="L8:P8"/>
    <mergeCell ref="L9:P9"/>
    <mergeCell ref="L10:P10"/>
    <mergeCell ref="L11:P11"/>
    <mergeCell ref="Q16:T16"/>
    <mergeCell ref="Q17:T17"/>
    <mergeCell ref="Q18:T18"/>
    <mergeCell ref="Q19:T19"/>
    <mergeCell ref="Q4:T4"/>
    <mergeCell ref="Q5:T5"/>
    <mergeCell ref="Q6:T6"/>
    <mergeCell ref="Q7:T7"/>
    <mergeCell ref="Q8:T8"/>
    <mergeCell ref="L19:P19"/>
    <mergeCell ref="L20:P20"/>
    <mergeCell ref="Q20:T20"/>
    <mergeCell ref="Q9:T9"/>
    <mergeCell ref="Q10:T10"/>
    <mergeCell ref="Q11:T11"/>
    <mergeCell ref="Q12:T12"/>
    <mergeCell ref="Q13:T13"/>
    <mergeCell ref="Q14:T14"/>
    <mergeCell ref="Q15:T15"/>
    <mergeCell ref="A21:T21"/>
    <mergeCell ref="C31:F31"/>
    <mergeCell ref="B28:D29"/>
    <mergeCell ref="E28:E29"/>
    <mergeCell ref="K28:K29"/>
    <mergeCell ref="G29:I29"/>
    <mergeCell ref="A23:T23"/>
    <mergeCell ref="A27:T27"/>
    <mergeCell ref="A30:T30"/>
    <mergeCell ref="F25:G25"/>
  </mergeCells>
  <printOptions/>
  <pageMargins left="1.56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E1:AN52"/>
  <sheetViews>
    <sheetView zoomScaleSheetLayoutView="100" zoomScalePageLayoutView="0" workbookViewId="0" topLeftCell="A1">
      <selection activeCell="S14" sqref="S14"/>
    </sheetView>
  </sheetViews>
  <sheetFormatPr defaultColWidth="3.7109375" defaultRowHeight="15" customHeight="1"/>
  <cols>
    <col min="1" max="4" width="3.7109375" style="180" customWidth="1"/>
    <col min="5" max="5" width="4.7109375" style="180" customWidth="1"/>
    <col min="6" max="6" width="4.00390625" style="180" bestFit="1" customWidth="1"/>
    <col min="7" max="7" width="3.7109375" style="180" customWidth="1"/>
    <col min="8" max="8" width="1.7109375" style="180" customWidth="1"/>
    <col min="9" max="9" width="4.7109375" style="180" customWidth="1"/>
    <col min="10" max="11" width="3.7109375" style="180" customWidth="1"/>
    <col min="12" max="12" width="4.421875" style="180" customWidth="1"/>
    <col min="13" max="13" width="1.57421875" style="180" customWidth="1"/>
    <col min="14" max="14" width="4.28125" style="180" customWidth="1"/>
    <col min="15" max="15" width="1.7109375" style="180" customWidth="1"/>
    <col min="16" max="16" width="2.140625" style="180" customWidth="1"/>
    <col min="17" max="17" width="1.421875" style="180" customWidth="1"/>
    <col min="18" max="18" width="6.28125" style="180" customWidth="1"/>
    <col min="19" max="19" width="5.00390625" style="180" customWidth="1"/>
    <col min="20" max="20" width="1.7109375" style="180" customWidth="1"/>
    <col min="21" max="21" width="4.00390625" style="180" customWidth="1"/>
    <col min="22" max="16384" width="3.7109375" style="180" customWidth="1"/>
  </cols>
  <sheetData>
    <row r="1" spans="5:25" ht="15" customHeight="1">
      <c r="E1" s="229" t="s">
        <v>19</v>
      </c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/>
      <c r="X1"/>
      <c r="Y1"/>
    </row>
    <row r="2" ht="9" customHeight="1"/>
    <row r="3" spans="6:15" ht="15" customHeight="1">
      <c r="F3" s="216" t="s">
        <v>22</v>
      </c>
      <c r="G3" s="216"/>
      <c r="H3" s="216"/>
      <c r="I3" s="216"/>
      <c r="J3" s="216"/>
      <c r="K3" s="218">
        <f>TRAFO_GÜCÜ!L22</f>
        <v>800</v>
      </c>
      <c r="L3" s="218"/>
      <c r="M3" s="218"/>
      <c r="N3" s="218" t="s">
        <v>1</v>
      </c>
      <c r="O3" s="218"/>
    </row>
    <row r="4" spans="6:15" ht="15" customHeight="1">
      <c r="F4" s="216" t="s">
        <v>23</v>
      </c>
      <c r="G4" s="216"/>
      <c r="H4" s="216"/>
      <c r="I4" s="216"/>
      <c r="J4" s="216"/>
      <c r="K4" s="225">
        <f>TRAFO_GÜCÜ!G31</f>
        <v>888.888888888889</v>
      </c>
      <c r="L4" s="225"/>
      <c r="M4" s="225"/>
      <c r="N4" s="218" t="s">
        <v>20</v>
      </c>
      <c r="O4" s="218"/>
    </row>
    <row r="5" spans="6:10" ht="9" customHeight="1">
      <c r="F5" s="181"/>
      <c r="G5" s="181"/>
      <c r="H5" s="181"/>
      <c r="I5" s="181"/>
      <c r="J5" s="181"/>
    </row>
    <row r="6" spans="5:11" ht="15" customHeight="1">
      <c r="E6" s="216" t="s">
        <v>24</v>
      </c>
      <c r="F6" s="216"/>
      <c r="G6" s="216"/>
      <c r="H6" s="216"/>
      <c r="I6" s="216"/>
      <c r="J6" s="216"/>
      <c r="K6" s="182">
        <v>1</v>
      </c>
    </row>
    <row r="7" spans="6:10" ht="15" customHeight="1">
      <c r="F7" s="181"/>
      <c r="G7" s="181"/>
      <c r="H7" s="181"/>
      <c r="I7" s="181"/>
      <c r="J7" s="181"/>
    </row>
    <row r="8" spans="6:20" ht="15" customHeight="1">
      <c r="F8" s="181"/>
      <c r="G8" s="181"/>
      <c r="H8" s="226" t="s">
        <v>460</v>
      </c>
      <c r="I8" s="226"/>
      <c r="J8" s="226"/>
      <c r="K8" s="227">
        <v>0.8</v>
      </c>
      <c r="L8" s="228"/>
      <c r="P8" s="216" t="s">
        <v>25</v>
      </c>
      <c r="Q8" s="216"/>
      <c r="R8" s="216"/>
      <c r="S8" s="218">
        <f>DEGREES(ACOS(K8))</f>
        <v>36.86989764584401</v>
      </c>
      <c r="T8" s="218"/>
    </row>
    <row r="9" spans="8:20" ht="15" customHeight="1">
      <c r="H9" s="226" t="s">
        <v>461</v>
      </c>
      <c r="I9" s="226"/>
      <c r="J9" s="226"/>
      <c r="K9" s="227">
        <v>0.99</v>
      </c>
      <c r="L9" s="228"/>
      <c r="P9" s="216" t="s">
        <v>26</v>
      </c>
      <c r="Q9" s="216"/>
      <c r="R9" s="216"/>
      <c r="S9" s="218">
        <f>DEGREES(ACOS(K9))</f>
        <v>8.109614455994183</v>
      </c>
      <c r="T9" s="218"/>
    </row>
    <row r="10" ht="5.25" customHeight="1"/>
    <row r="11" spans="10:15" ht="15" customHeight="1">
      <c r="J11" s="183" t="s">
        <v>27</v>
      </c>
      <c r="K11" s="217" t="s">
        <v>462</v>
      </c>
      <c r="L11" s="217"/>
      <c r="M11" s="184" t="s">
        <v>28</v>
      </c>
      <c r="N11" s="218" t="s">
        <v>463</v>
      </c>
      <c r="O11" s="218"/>
    </row>
    <row r="12" spans="10:15" ht="15" customHeight="1">
      <c r="J12" s="183" t="s">
        <v>27</v>
      </c>
      <c r="K12" s="217">
        <f>TAN(RADIANS(S8))</f>
        <v>0.7499999999999998</v>
      </c>
      <c r="L12" s="217"/>
      <c r="M12" s="185" t="s">
        <v>28</v>
      </c>
      <c r="N12" s="217">
        <f>TAN(RADIANS(S9))</f>
        <v>0.1424922826228878</v>
      </c>
      <c r="O12" s="217"/>
    </row>
    <row r="13" spans="10:12" ht="15" customHeight="1">
      <c r="J13" s="183" t="s">
        <v>27</v>
      </c>
      <c r="K13" s="217">
        <f>K12-N12</f>
        <v>0.607507717377112</v>
      </c>
      <c r="L13" s="217"/>
    </row>
    <row r="14" spans="10:12" ht="9" customHeight="1">
      <c r="J14" s="183"/>
      <c r="K14" s="184"/>
      <c r="L14" s="184"/>
    </row>
    <row r="15" spans="5:19" ht="15" customHeight="1">
      <c r="E15" s="220" t="s">
        <v>426</v>
      </c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</row>
    <row r="16" spans="5:19" ht="15" customHeight="1"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</row>
    <row r="17" spans="5:12" ht="15" customHeight="1">
      <c r="E17" s="221" t="s">
        <v>460</v>
      </c>
      <c r="F17" s="221"/>
      <c r="G17" s="221"/>
      <c r="H17" s="222">
        <v>0.8</v>
      </c>
      <c r="I17" s="223"/>
      <c r="J17" s="183"/>
      <c r="K17" s="184"/>
      <c r="L17" s="184"/>
    </row>
    <row r="18" spans="5:15" ht="15" customHeight="1">
      <c r="E18" s="221" t="s">
        <v>461</v>
      </c>
      <c r="F18" s="221"/>
      <c r="G18" s="221"/>
      <c r="H18" s="222">
        <v>0.99</v>
      </c>
      <c r="I18" s="223"/>
      <c r="J18" s="183"/>
      <c r="K18" s="184"/>
      <c r="L18" s="187" t="s">
        <v>27</v>
      </c>
      <c r="M18" s="224">
        <f>INDEX(TGK!D1:J50,MATCH(KOMPANZASYON!H17,TGK!D1:D50,0),MATCH(KOMPANZASYON!H18,TGK!D1:J1,0))</f>
        <v>0.61</v>
      </c>
      <c r="N18" s="224"/>
      <c r="O18" s="224"/>
    </row>
    <row r="20" spans="5:10" ht="15" customHeight="1">
      <c r="E20" s="219" t="s">
        <v>29</v>
      </c>
      <c r="F20" s="219"/>
      <c r="G20" s="219"/>
      <c r="H20" s="219"/>
      <c r="I20" s="219"/>
      <c r="J20" s="219"/>
    </row>
    <row r="21" spans="34:40" ht="7.5" customHeight="1">
      <c r="AH21" s="181"/>
      <c r="AI21" s="181"/>
      <c r="AJ21" s="181"/>
      <c r="AK21" s="181"/>
      <c r="AL21"/>
      <c r="AM21"/>
      <c r="AN21"/>
    </row>
    <row r="22" spans="5:40" ht="15" customHeight="1">
      <c r="E22" s="217" t="s">
        <v>31</v>
      </c>
      <c r="F22" s="217"/>
      <c r="G22" s="217"/>
      <c r="H22" s="217"/>
      <c r="I22" s="217"/>
      <c r="J22" s="217" t="s">
        <v>30</v>
      </c>
      <c r="K22" s="217"/>
      <c r="L22" s="217"/>
      <c r="M22" s="188" t="s">
        <v>10</v>
      </c>
      <c r="N22" s="217" t="s">
        <v>21</v>
      </c>
      <c r="O22" s="217"/>
      <c r="P22" s="217"/>
      <c r="Q22" s="217"/>
      <c r="R22" s="217"/>
      <c r="S22" s="217"/>
      <c r="T22" s="188" t="s">
        <v>10</v>
      </c>
      <c r="U22" s="181" t="s">
        <v>11</v>
      </c>
      <c r="V22" s="188"/>
      <c r="AL22"/>
      <c r="AM22"/>
      <c r="AN22"/>
    </row>
    <row r="24" spans="8:18" ht="15" customHeight="1">
      <c r="H24" s="216" t="s">
        <v>464</v>
      </c>
      <c r="I24" s="216"/>
      <c r="J24" s="217">
        <f>TRAFO_GÜCÜ!L22</f>
        <v>800</v>
      </c>
      <c r="K24" s="217"/>
      <c r="L24" s="217"/>
      <c r="M24" s="188" t="s">
        <v>10</v>
      </c>
      <c r="N24" s="184">
        <f>K6</f>
        <v>1</v>
      </c>
      <c r="O24" s="188" t="s">
        <v>10</v>
      </c>
      <c r="P24" s="217">
        <f>M18</f>
        <v>0.61</v>
      </c>
      <c r="Q24" s="217"/>
      <c r="R24" s="217"/>
    </row>
    <row r="25" ht="5.25" customHeight="1"/>
    <row r="26" spans="8:15" ht="15" customHeight="1">
      <c r="H26" s="216" t="s">
        <v>464</v>
      </c>
      <c r="I26" s="216"/>
      <c r="J26" s="217">
        <f>J24*N24*P24</f>
        <v>488</v>
      </c>
      <c r="K26" s="217"/>
      <c r="L26" s="217"/>
      <c r="M26" s="218" t="s">
        <v>32</v>
      </c>
      <c r="N26" s="218"/>
      <c r="O26" s="218"/>
    </row>
    <row r="28" spans="5:20" ht="15" customHeight="1">
      <c r="E28" s="231" t="s">
        <v>457</v>
      </c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</row>
    <row r="29" spans="5:20" ht="15" customHeight="1">
      <c r="E29" s="216">
        <f>TRAFO_GÜCÜ!D33</f>
        <v>1000</v>
      </c>
      <c r="F29" s="216"/>
      <c r="G29" s="216"/>
      <c r="H29" s="189" t="s">
        <v>10</v>
      </c>
      <c r="I29" s="190">
        <v>0.03</v>
      </c>
      <c r="J29" s="184" t="s">
        <v>456</v>
      </c>
      <c r="K29" s="217" t="s">
        <v>465</v>
      </c>
      <c r="L29" s="217"/>
      <c r="M29" s="217"/>
      <c r="N29" s="184" t="s">
        <v>456</v>
      </c>
      <c r="O29" s="235">
        <v>0.05</v>
      </c>
      <c r="P29" s="235"/>
      <c r="Q29" s="189" t="s">
        <v>10</v>
      </c>
      <c r="R29" s="218">
        <f>E29</f>
        <v>1000</v>
      </c>
      <c r="S29" s="218"/>
      <c r="T29" s="218"/>
    </row>
    <row r="30" spans="7:18" ht="15" customHeight="1">
      <c r="G30" s="184">
        <f>E29*3/100</f>
        <v>30</v>
      </c>
      <c r="H30" s="217" t="s">
        <v>458</v>
      </c>
      <c r="I30" s="217"/>
      <c r="J30" s="184" t="s">
        <v>456</v>
      </c>
      <c r="K30" s="217" t="s">
        <v>465</v>
      </c>
      <c r="L30" s="217"/>
      <c r="M30" s="217"/>
      <c r="N30" s="184" t="s">
        <v>456</v>
      </c>
      <c r="O30" s="217">
        <f>R29*5/100</f>
        <v>50</v>
      </c>
      <c r="P30" s="217"/>
      <c r="Q30" s="217" t="s">
        <v>458</v>
      </c>
      <c r="R30" s="217"/>
    </row>
    <row r="31" spans="7:21" ht="15" customHeight="1">
      <c r="G31" s="217" t="s">
        <v>466</v>
      </c>
      <c r="H31" s="217"/>
      <c r="I31" s="217"/>
      <c r="J31" s="217">
        <f>G30</f>
        <v>30</v>
      </c>
      <c r="K31" s="217"/>
      <c r="L31" s="217" t="s">
        <v>458</v>
      </c>
      <c r="M31" s="217"/>
      <c r="O31" s="218" t="s">
        <v>459</v>
      </c>
      <c r="P31" s="218"/>
      <c r="Q31" s="218"/>
      <c r="R31" s="218"/>
      <c r="S31" s="218"/>
      <c r="T31" s="218"/>
      <c r="U31" s="218"/>
    </row>
    <row r="33" spans="5:18" ht="15" customHeight="1">
      <c r="E33" s="227" t="s">
        <v>2</v>
      </c>
      <c r="F33" s="230"/>
      <c r="G33" s="228"/>
      <c r="H33" s="227" t="s">
        <v>467</v>
      </c>
      <c r="I33" s="230"/>
      <c r="J33" s="230"/>
      <c r="K33" s="230"/>
      <c r="L33" s="228"/>
      <c r="M33" s="213" t="s">
        <v>468</v>
      </c>
      <c r="N33" s="213"/>
      <c r="O33" s="213"/>
      <c r="P33" s="213"/>
      <c r="Q33" s="213"/>
      <c r="R33"/>
    </row>
    <row r="34" spans="5:18" ht="15" customHeight="1">
      <c r="E34" s="227">
        <v>1</v>
      </c>
      <c r="F34" s="230"/>
      <c r="G34" s="228"/>
      <c r="H34" s="227" t="s">
        <v>469</v>
      </c>
      <c r="I34" s="230"/>
      <c r="J34" s="230"/>
      <c r="K34" s="230"/>
      <c r="L34" s="228"/>
      <c r="M34" s="214">
        <f>J31</f>
        <v>30</v>
      </c>
      <c r="N34" s="232"/>
      <c r="O34" s="232" t="s">
        <v>458</v>
      </c>
      <c r="P34" s="232"/>
      <c r="Q34" s="215"/>
      <c r="R34"/>
    </row>
    <row r="35" spans="5:18" ht="15" customHeight="1">
      <c r="E35" s="227">
        <v>2</v>
      </c>
      <c r="F35" s="230"/>
      <c r="G35" s="228"/>
      <c r="H35" s="227" t="s">
        <v>486</v>
      </c>
      <c r="I35" s="230"/>
      <c r="J35" s="230"/>
      <c r="K35" s="230"/>
      <c r="L35" s="228"/>
      <c r="M35" s="233">
        <v>12.5</v>
      </c>
      <c r="N35" s="234"/>
      <c r="O35" s="232" t="s">
        <v>458</v>
      </c>
      <c r="P35" s="232"/>
      <c r="Q35" s="215"/>
      <c r="R35"/>
    </row>
    <row r="36" spans="5:18" ht="15" customHeight="1">
      <c r="E36" s="227">
        <v>3</v>
      </c>
      <c r="F36" s="230"/>
      <c r="G36" s="228"/>
      <c r="H36" s="227" t="s">
        <v>485</v>
      </c>
      <c r="I36" s="230"/>
      <c r="J36" s="230"/>
      <c r="K36" s="230"/>
      <c r="L36" s="228"/>
      <c r="M36" s="233">
        <v>25</v>
      </c>
      <c r="N36" s="234"/>
      <c r="O36" s="232" t="s">
        <v>458</v>
      </c>
      <c r="P36" s="232"/>
      <c r="Q36" s="215"/>
      <c r="R36"/>
    </row>
    <row r="37" spans="5:18" ht="15" customHeight="1">
      <c r="E37" s="227">
        <v>4</v>
      </c>
      <c r="F37" s="230"/>
      <c r="G37" s="228"/>
      <c r="H37" s="227" t="s">
        <v>484</v>
      </c>
      <c r="I37" s="230"/>
      <c r="J37" s="230"/>
      <c r="K37" s="230"/>
      <c r="L37" s="228"/>
      <c r="M37" s="233">
        <v>50</v>
      </c>
      <c r="N37" s="234"/>
      <c r="O37" s="232" t="s">
        <v>458</v>
      </c>
      <c r="P37" s="232"/>
      <c r="Q37" s="215"/>
      <c r="R37"/>
    </row>
    <row r="38" spans="5:18" ht="15" customHeight="1">
      <c r="E38" s="227">
        <v>5</v>
      </c>
      <c r="F38" s="230"/>
      <c r="G38" s="228"/>
      <c r="H38" s="227" t="s">
        <v>470</v>
      </c>
      <c r="I38" s="230"/>
      <c r="J38" s="230"/>
      <c r="K38" s="230"/>
      <c r="L38" s="228"/>
      <c r="M38" s="233">
        <v>50</v>
      </c>
      <c r="N38" s="234"/>
      <c r="O38" s="232" t="s">
        <v>458</v>
      </c>
      <c r="P38" s="232"/>
      <c r="Q38" s="215"/>
      <c r="R38"/>
    </row>
    <row r="39" spans="5:18" ht="15" customHeight="1">
      <c r="E39" s="227">
        <v>6</v>
      </c>
      <c r="F39" s="230"/>
      <c r="G39" s="228"/>
      <c r="H39" s="227" t="s">
        <v>471</v>
      </c>
      <c r="I39" s="230"/>
      <c r="J39" s="230"/>
      <c r="K39" s="230"/>
      <c r="L39" s="228"/>
      <c r="M39" s="233">
        <v>50</v>
      </c>
      <c r="N39" s="234"/>
      <c r="O39" s="232" t="s">
        <v>458</v>
      </c>
      <c r="P39" s="232"/>
      <c r="Q39" s="215"/>
      <c r="R39"/>
    </row>
    <row r="40" spans="5:18" ht="15" customHeight="1">
      <c r="E40" s="227">
        <v>7</v>
      </c>
      <c r="F40" s="230"/>
      <c r="G40" s="228"/>
      <c r="H40" s="227" t="s">
        <v>472</v>
      </c>
      <c r="I40" s="230"/>
      <c r="J40" s="230"/>
      <c r="K40" s="230"/>
      <c r="L40" s="228"/>
      <c r="M40" s="233">
        <v>50</v>
      </c>
      <c r="N40" s="234"/>
      <c r="O40" s="232" t="s">
        <v>458</v>
      </c>
      <c r="P40" s="232"/>
      <c r="Q40" s="215"/>
      <c r="R40"/>
    </row>
    <row r="41" spans="5:18" ht="15" customHeight="1">
      <c r="E41" s="227">
        <v>8</v>
      </c>
      <c r="F41" s="230"/>
      <c r="G41" s="228"/>
      <c r="H41" s="227" t="s">
        <v>473</v>
      </c>
      <c r="I41" s="230"/>
      <c r="J41" s="230"/>
      <c r="K41" s="230"/>
      <c r="L41" s="228"/>
      <c r="M41" s="233">
        <v>50</v>
      </c>
      <c r="N41" s="234"/>
      <c r="O41" s="232" t="s">
        <v>458</v>
      </c>
      <c r="P41" s="232"/>
      <c r="Q41" s="215"/>
      <c r="R41"/>
    </row>
    <row r="42" spans="5:18" ht="15" customHeight="1">
      <c r="E42" s="227">
        <v>9</v>
      </c>
      <c r="F42" s="230"/>
      <c r="G42" s="228"/>
      <c r="H42" s="227" t="s">
        <v>474</v>
      </c>
      <c r="I42" s="230"/>
      <c r="J42" s="230"/>
      <c r="K42" s="230"/>
      <c r="L42" s="228"/>
      <c r="M42" s="233">
        <v>50</v>
      </c>
      <c r="N42" s="234"/>
      <c r="O42" s="232" t="s">
        <v>458</v>
      </c>
      <c r="P42" s="232"/>
      <c r="Q42" s="215"/>
      <c r="R42"/>
    </row>
    <row r="43" spans="5:18" ht="15" customHeight="1">
      <c r="E43" s="227">
        <v>10</v>
      </c>
      <c r="F43" s="230"/>
      <c r="G43" s="228"/>
      <c r="H43" s="227" t="s">
        <v>475</v>
      </c>
      <c r="I43" s="230"/>
      <c r="J43" s="230"/>
      <c r="K43" s="230"/>
      <c r="L43" s="228"/>
      <c r="M43" s="233">
        <v>50</v>
      </c>
      <c r="N43" s="234"/>
      <c r="O43" s="232" t="s">
        <v>458</v>
      </c>
      <c r="P43" s="232"/>
      <c r="Q43" s="215"/>
      <c r="R43"/>
    </row>
    <row r="44" spans="5:18" ht="15" customHeight="1">
      <c r="E44" s="227">
        <v>11</v>
      </c>
      <c r="F44" s="230"/>
      <c r="G44" s="228"/>
      <c r="H44" s="227" t="s">
        <v>476</v>
      </c>
      <c r="I44" s="230"/>
      <c r="J44" s="230"/>
      <c r="K44" s="230"/>
      <c r="L44" s="228"/>
      <c r="M44" s="233">
        <v>50</v>
      </c>
      <c r="N44" s="234"/>
      <c r="O44" s="232" t="s">
        <v>458</v>
      </c>
      <c r="P44" s="232"/>
      <c r="Q44" s="215"/>
      <c r="R44"/>
    </row>
    <row r="45" spans="5:18" ht="15" customHeight="1">
      <c r="E45" s="227">
        <v>12</v>
      </c>
      <c r="F45" s="230"/>
      <c r="G45" s="228"/>
      <c r="H45" s="227" t="s">
        <v>477</v>
      </c>
      <c r="I45" s="230"/>
      <c r="J45" s="230"/>
      <c r="K45" s="230"/>
      <c r="L45" s="228"/>
      <c r="M45" s="233">
        <v>50</v>
      </c>
      <c r="N45" s="234"/>
      <c r="O45" s="232" t="s">
        <v>458</v>
      </c>
      <c r="P45" s="232"/>
      <c r="Q45" s="215"/>
      <c r="R45"/>
    </row>
    <row r="46" spans="5:18" ht="15" customHeight="1">
      <c r="E46" s="227">
        <v>13</v>
      </c>
      <c r="F46" s="230"/>
      <c r="G46" s="228"/>
      <c r="H46" s="227" t="s">
        <v>478</v>
      </c>
      <c r="I46" s="230"/>
      <c r="J46" s="230"/>
      <c r="K46" s="230"/>
      <c r="L46" s="228"/>
      <c r="M46" s="233"/>
      <c r="N46" s="234"/>
      <c r="O46" s="232" t="s">
        <v>458</v>
      </c>
      <c r="P46" s="232"/>
      <c r="Q46" s="215"/>
      <c r="R46"/>
    </row>
    <row r="47" spans="5:18" ht="15" customHeight="1">
      <c r="E47" s="227">
        <v>14</v>
      </c>
      <c r="F47" s="230"/>
      <c r="G47" s="228"/>
      <c r="H47" s="227" t="s">
        <v>479</v>
      </c>
      <c r="I47" s="230"/>
      <c r="J47" s="230"/>
      <c r="K47" s="230"/>
      <c r="L47" s="228"/>
      <c r="M47" s="233"/>
      <c r="N47" s="234"/>
      <c r="O47" s="232" t="s">
        <v>458</v>
      </c>
      <c r="P47" s="232"/>
      <c r="Q47" s="215"/>
      <c r="R47"/>
    </row>
    <row r="48" spans="5:18" ht="15" customHeight="1">
      <c r="E48" s="227">
        <v>15</v>
      </c>
      <c r="F48" s="230"/>
      <c r="G48" s="228"/>
      <c r="H48" s="227" t="s">
        <v>480</v>
      </c>
      <c r="I48" s="230"/>
      <c r="J48" s="230"/>
      <c r="K48" s="230"/>
      <c r="L48" s="228"/>
      <c r="M48" s="233"/>
      <c r="N48" s="234"/>
      <c r="O48" s="232" t="s">
        <v>458</v>
      </c>
      <c r="P48" s="232"/>
      <c r="Q48" s="215"/>
      <c r="R48"/>
    </row>
    <row r="49" spans="5:18" ht="15" customHeight="1">
      <c r="E49" s="227">
        <v>16</v>
      </c>
      <c r="F49" s="230"/>
      <c r="G49" s="228"/>
      <c r="H49" s="227" t="s">
        <v>481</v>
      </c>
      <c r="I49" s="230"/>
      <c r="J49" s="230"/>
      <c r="K49" s="230"/>
      <c r="L49" s="228"/>
      <c r="M49" s="233"/>
      <c r="N49" s="234"/>
      <c r="O49" s="232" t="s">
        <v>458</v>
      </c>
      <c r="P49" s="232"/>
      <c r="Q49" s="215"/>
      <c r="R49"/>
    </row>
    <row r="50" spans="5:18" ht="15" customHeight="1">
      <c r="E50" s="227">
        <v>17</v>
      </c>
      <c r="F50" s="230"/>
      <c r="G50" s="228"/>
      <c r="H50" s="227" t="s">
        <v>482</v>
      </c>
      <c r="I50" s="230"/>
      <c r="J50" s="230"/>
      <c r="K50" s="230"/>
      <c r="L50" s="228"/>
      <c r="M50" s="233"/>
      <c r="N50" s="234"/>
      <c r="O50" s="232" t="s">
        <v>458</v>
      </c>
      <c r="P50" s="232"/>
      <c r="Q50" s="215"/>
      <c r="R50"/>
    </row>
    <row r="51" spans="5:18" ht="15" customHeight="1">
      <c r="E51" s="227">
        <v>18</v>
      </c>
      <c r="F51" s="230"/>
      <c r="G51" s="228"/>
      <c r="H51" s="227" t="s">
        <v>483</v>
      </c>
      <c r="I51" s="230"/>
      <c r="J51" s="230"/>
      <c r="K51" s="230"/>
      <c r="L51" s="228"/>
      <c r="M51" s="233"/>
      <c r="N51" s="234"/>
      <c r="O51" s="232" t="s">
        <v>458</v>
      </c>
      <c r="P51" s="232"/>
      <c r="Q51" s="215"/>
      <c r="R51"/>
    </row>
    <row r="52" spans="5:18" ht="15" customHeight="1">
      <c r="E52" s="227">
        <v>19</v>
      </c>
      <c r="F52" s="230"/>
      <c r="G52" s="228"/>
      <c r="H52" s="227" t="s">
        <v>487</v>
      </c>
      <c r="I52" s="230"/>
      <c r="J52" s="230"/>
      <c r="K52" s="230"/>
      <c r="L52" s="228"/>
      <c r="M52" s="233"/>
      <c r="N52" s="234"/>
      <c r="O52" s="232" t="s">
        <v>458</v>
      </c>
      <c r="P52" s="232"/>
      <c r="Q52" s="215"/>
      <c r="R52"/>
    </row>
  </sheetData>
  <sheetProtection/>
  <mergeCells count="129">
    <mergeCell ref="O34:Q34"/>
    <mergeCell ref="O35:Q35"/>
    <mergeCell ref="O36:Q36"/>
    <mergeCell ref="O37:Q37"/>
    <mergeCell ref="O38:Q38"/>
    <mergeCell ref="M34:N34"/>
    <mergeCell ref="M35:N35"/>
    <mergeCell ref="M36:N36"/>
    <mergeCell ref="M37:N37"/>
    <mergeCell ref="M38:N38"/>
    <mergeCell ref="M50:N50"/>
    <mergeCell ref="M51:N51"/>
    <mergeCell ref="O49:Q49"/>
    <mergeCell ref="O50:Q50"/>
    <mergeCell ref="O51:Q51"/>
    <mergeCell ref="O52:Q52"/>
    <mergeCell ref="O41:Q41"/>
    <mergeCell ref="O42:Q42"/>
    <mergeCell ref="M33:Q33"/>
    <mergeCell ref="M52:N52"/>
    <mergeCell ref="O29:P29"/>
    <mergeCell ref="O30:P30"/>
    <mergeCell ref="Q30:R30"/>
    <mergeCell ref="M47:N47"/>
    <mergeCell ref="M48:N48"/>
    <mergeCell ref="M49:N49"/>
    <mergeCell ref="O48:Q48"/>
    <mergeCell ref="M39:N39"/>
    <mergeCell ref="M40:N40"/>
    <mergeCell ref="M41:N41"/>
    <mergeCell ref="M42:N42"/>
    <mergeCell ref="E40:G40"/>
    <mergeCell ref="E41:G41"/>
    <mergeCell ref="E42:G42"/>
    <mergeCell ref="O39:Q39"/>
    <mergeCell ref="O40:Q40"/>
    <mergeCell ref="E52:G52"/>
    <mergeCell ref="H52:L52"/>
    <mergeCell ref="M43:N43"/>
    <mergeCell ref="M44:N44"/>
    <mergeCell ref="M45:N45"/>
    <mergeCell ref="M46:N46"/>
    <mergeCell ref="E51:G51"/>
    <mergeCell ref="H51:L51"/>
    <mergeCell ref="H49:L49"/>
    <mergeCell ref="H50:L50"/>
    <mergeCell ref="E45:G45"/>
    <mergeCell ref="E46:G46"/>
    <mergeCell ref="E47:G47"/>
    <mergeCell ref="E48:G48"/>
    <mergeCell ref="E49:G49"/>
    <mergeCell ref="O43:Q43"/>
    <mergeCell ref="O44:Q44"/>
    <mergeCell ref="O45:Q45"/>
    <mergeCell ref="O46:Q46"/>
    <mergeCell ref="O47:Q47"/>
    <mergeCell ref="H43:L43"/>
    <mergeCell ref="H44:L44"/>
    <mergeCell ref="H45:L45"/>
    <mergeCell ref="H46:L46"/>
    <mergeCell ref="H47:L47"/>
    <mergeCell ref="H48:L48"/>
    <mergeCell ref="E50:G50"/>
    <mergeCell ref="H34:L34"/>
    <mergeCell ref="H35:L35"/>
    <mergeCell ref="H36:L36"/>
    <mergeCell ref="H37:L37"/>
    <mergeCell ref="H38:L38"/>
    <mergeCell ref="H39:L39"/>
    <mergeCell ref="H40:L40"/>
    <mergeCell ref="H41:L41"/>
    <mergeCell ref="H42:L42"/>
    <mergeCell ref="H30:I30"/>
    <mergeCell ref="E29:G29"/>
    <mergeCell ref="P24:R24"/>
    <mergeCell ref="R29:T29"/>
    <mergeCell ref="E28:T28"/>
    <mergeCell ref="K29:M29"/>
    <mergeCell ref="P8:R8"/>
    <mergeCell ref="E33:G33"/>
    <mergeCell ref="H33:L33"/>
    <mergeCell ref="E34:G34"/>
    <mergeCell ref="G31:I31"/>
    <mergeCell ref="J31:K31"/>
    <mergeCell ref="L31:M31"/>
    <mergeCell ref="O31:U31"/>
    <mergeCell ref="P9:R9"/>
    <mergeCell ref="K30:M30"/>
    <mergeCell ref="S8:T8"/>
    <mergeCell ref="S9:T9"/>
    <mergeCell ref="E1:V1"/>
    <mergeCell ref="E43:G43"/>
    <mergeCell ref="E44:G44"/>
    <mergeCell ref="E35:G35"/>
    <mergeCell ref="E36:G36"/>
    <mergeCell ref="E37:G37"/>
    <mergeCell ref="E38:G38"/>
    <mergeCell ref="E39:G39"/>
    <mergeCell ref="E6:J6"/>
    <mergeCell ref="K11:L11"/>
    <mergeCell ref="N11:O11"/>
    <mergeCell ref="H8:J8"/>
    <mergeCell ref="H9:J9"/>
    <mergeCell ref="K8:L8"/>
    <mergeCell ref="K9:L9"/>
    <mergeCell ref="F3:J3"/>
    <mergeCell ref="F4:J4"/>
    <mergeCell ref="K3:M3"/>
    <mergeCell ref="K4:M4"/>
    <mergeCell ref="N3:O3"/>
    <mergeCell ref="N4:O4"/>
    <mergeCell ref="E17:G17"/>
    <mergeCell ref="E18:G18"/>
    <mergeCell ref="H17:I17"/>
    <mergeCell ref="H18:I18"/>
    <mergeCell ref="M18:O18"/>
    <mergeCell ref="J22:L22"/>
    <mergeCell ref="N22:S22"/>
    <mergeCell ref="E22:I22"/>
    <mergeCell ref="H24:I24"/>
    <mergeCell ref="J24:L24"/>
    <mergeCell ref="H26:I26"/>
    <mergeCell ref="J26:L26"/>
    <mergeCell ref="M26:O26"/>
    <mergeCell ref="K12:L12"/>
    <mergeCell ref="N12:O12"/>
    <mergeCell ref="K13:L13"/>
    <mergeCell ref="E20:J20"/>
    <mergeCell ref="E15:S15"/>
  </mergeCells>
  <dataValidations count="2">
    <dataValidation type="list" allowBlank="1" showInputMessage="1" showErrorMessage="1" sqref="H17:I17">
      <formula1>COSBİR</formula1>
    </dataValidation>
    <dataValidation type="list" allowBlank="1" showInputMessage="1" showErrorMessage="1" sqref="H18:I18">
      <formula1>COSİKİ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G118"/>
  <sheetViews>
    <sheetView zoomScaleSheetLayoutView="100" zoomScalePageLayoutView="0" workbookViewId="0" topLeftCell="A19">
      <selection activeCell="Z32" sqref="Z32:AA32"/>
    </sheetView>
  </sheetViews>
  <sheetFormatPr defaultColWidth="3.7109375" defaultRowHeight="15"/>
  <cols>
    <col min="1" max="1" width="3.7109375" style="45" customWidth="1"/>
    <col min="2" max="2" width="5.00390625" style="45" customWidth="1"/>
    <col min="3" max="3" width="0.9921875" style="45" customWidth="1"/>
    <col min="4" max="4" width="5.140625" style="45" customWidth="1"/>
    <col min="5" max="5" width="1.28515625" style="45" customWidth="1"/>
    <col min="6" max="6" width="3.7109375" style="45" customWidth="1"/>
    <col min="7" max="7" width="2.00390625" style="45" customWidth="1"/>
    <col min="8" max="8" width="4.8515625" style="45" customWidth="1"/>
    <col min="9" max="9" width="3.28125" style="45" customWidth="1"/>
    <col min="10" max="10" width="0.9921875" style="45" customWidth="1"/>
    <col min="11" max="11" width="5.8515625" style="45" customWidth="1"/>
    <col min="12" max="12" width="1.28515625" style="45" customWidth="1"/>
    <col min="13" max="13" width="1.1484375" style="45" customWidth="1"/>
    <col min="14" max="14" width="6.00390625" style="45" customWidth="1"/>
    <col min="15" max="15" width="1.28515625" style="45" customWidth="1"/>
    <col min="16" max="16" width="1.1484375" style="45" customWidth="1"/>
    <col min="17" max="17" width="2.7109375" style="45" customWidth="1"/>
    <col min="18" max="19" width="1.1484375" style="45" customWidth="1"/>
    <col min="20" max="20" width="5.00390625" style="45" customWidth="1"/>
    <col min="21" max="21" width="2.8515625" style="45" customWidth="1"/>
    <col min="22" max="23" width="3.7109375" style="45" customWidth="1"/>
    <col min="24" max="24" width="3.28125" style="45" customWidth="1"/>
    <col min="25" max="25" width="3.57421875" style="45" customWidth="1"/>
    <col min="26" max="26" width="4.28125" style="45" customWidth="1"/>
    <col min="27" max="27" width="2.140625" style="45" customWidth="1"/>
    <col min="28" max="28" width="2.8515625" style="45" customWidth="1"/>
    <col min="29" max="29" width="2.421875" style="45" customWidth="1"/>
    <col min="30" max="30" width="0.9921875" style="45" customWidth="1"/>
    <col min="31" max="31" width="3.7109375" style="45" customWidth="1"/>
    <col min="32" max="32" width="4.28125" style="45" customWidth="1"/>
    <col min="33" max="33" width="1.1484375" style="45" customWidth="1"/>
    <col min="34" max="34" width="4.7109375" style="45" customWidth="1"/>
    <col min="35" max="35" width="1.421875" style="45" customWidth="1"/>
    <col min="36" max="36" width="4.140625" style="45" customWidth="1"/>
    <col min="37" max="37" width="1.421875" style="45" customWidth="1"/>
    <col min="38" max="38" width="4.421875" style="45" bestFit="1" customWidth="1"/>
    <col min="39" max="39" width="0.9921875" style="45" customWidth="1"/>
    <col min="40" max="40" width="3.8515625" style="45" customWidth="1"/>
    <col min="41" max="41" width="5.140625" style="45" customWidth="1"/>
    <col min="42" max="42" width="1.28515625" style="45" customWidth="1"/>
    <col min="43" max="43" width="0.9921875" style="45" customWidth="1"/>
    <col min="44" max="44" width="4.28125" style="45" customWidth="1"/>
    <col min="45" max="45" width="1.28515625" style="45" customWidth="1"/>
    <col min="46" max="46" width="3.8515625" style="45" customWidth="1"/>
    <col min="47" max="47" width="1.1484375" style="45" customWidth="1"/>
    <col min="48" max="48" width="3.140625" style="45" customWidth="1"/>
    <col min="49" max="49" width="1.1484375" style="45" customWidth="1"/>
    <col min="50" max="50" width="3.7109375" style="45" customWidth="1"/>
    <col min="51" max="51" width="1.28515625" style="45" customWidth="1"/>
    <col min="52" max="52" width="4.57421875" style="45" customWidth="1"/>
    <col min="53" max="53" width="4.8515625" style="45" customWidth="1"/>
    <col min="54" max="54" width="1.421875" style="45" customWidth="1"/>
    <col min="55" max="55" width="4.28125" style="45" customWidth="1"/>
    <col min="56" max="56" width="1.421875" style="45" customWidth="1"/>
    <col min="57" max="16384" width="3.7109375" style="45" customWidth="1"/>
  </cols>
  <sheetData>
    <row r="1" spans="1:59" ht="12" customHeight="1">
      <c r="A1" s="269" t="s">
        <v>37</v>
      </c>
      <c r="B1" s="269"/>
      <c r="C1" s="269"/>
      <c r="D1" s="269"/>
      <c r="E1" s="269"/>
      <c r="F1" s="269"/>
      <c r="G1" s="269"/>
      <c r="H1" s="287" t="s">
        <v>142</v>
      </c>
      <c r="I1" s="288"/>
      <c r="J1" s="288"/>
      <c r="K1" s="288"/>
      <c r="L1" s="288"/>
      <c r="M1" s="288"/>
      <c r="N1" s="288"/>
      <c r="O1" s="158"/>
      <c r="P1" s="259" t="s">
        <v>84</v>
      </c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E1" s="280" t="s">
        <v>187</v>
      </c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</row>
    <row r="2" spans="1:56" ht="12.75" customHeight="1">
      <c r="A2" s="126" t="s">
        <v>40</v>
      </c>
      <c r="B2" s="275">
        <v>34.5</v>
      </c>
      <c r="C2" s="275"/>
      <c r="D2" s="74" t="s">
        <v>38</v>
      </c>
      <c r="E2" s="50"/>
      <c r="F2" s="49"/>
      <c r="G2" s="49"/>
      <c r="H2" s="127" t="s">
        <v>318</v>
      </c>
      <c r="I2" s="275">
        <v>154</v>
      </c>
      <c r="J2" s="275"/>
      <c r="K2" s="275"/>
      <c r="L2" s="243" t="s">
        <v>38</v>
      </c>
      <c r="M2" s="244"/>
      <c r="N2" s="251"/>
      <c r="O2" s="141"/>
      <c r="P2" s="271" t="s">
        <v>56</v>
      </c>
      <c r="Q2" s="272"/>
      <c r="R2" s="272"/>
      <c r="S2" s="272"/>
      <c r="T2" s="272"/>
      <c r="U2" s="272"/>
      <c r="V2" s="275" t="s">
        <v>162</v>
      </c>
      <c r="W2" s="275"/>
      <c r="X2" s="275"/>
      <c r="Y2" s="275"/>
      <c r="Z2" s="275"/>
      <c r="AA2" s="275"/>
      <c r="AE2" s="45" t="s">
        <v>262</v>
      </c>
      <c r="AF2" s="139" t="s">
        <v>181</v>
      </c>
      <c r="AG2" s="145" t="s">
        <v>10</v>
      </c>
      <c r="AH2" s="139" t="s">
        <v>83</v>
      </c>
      <c r="AN2" s="45" t="s">
        <v>262</v>
      </c>
      <c r="AO2" s="139">
        <f>B18</f>
        <v>0.16799</v>
      </c>
      <c r="AP2" s="145" t="s">
        <v>10</v>
      </c>
      <c r="AQ2" s="248">
        <f>B16</f>
        <v>1200</v>
      </c>
      <c r="AR2" s="248"/>
      <c r="AS2" s="248"/>
      <c r="AZ2" s="45" t="s">
        <v>262</v>
      </c>
      <c r="BA2" s="248">
        <f>B18*(B16/10^3)</f>
        <v>0.201588</v>
      </c>
      <c r="BB2" s="248"/>
      <c r="BC2" s="252" t="s">
        <v>359</v>
      </c>
      <c r="BD2" s="252"/>
    </row>
    <row r="3" spans="1:56" ht="12.75" customHeight="1">
      <c r="A3" s="126" t="s">
        <v>319</v>
      </c>
      <c r="B3" s="275">
        <v>2766</v>
      </c>
      <c r="C3" s="275"/>
      <c r="D3" s="74" t="s">
        <v>39</v>
      </c>
      <c r="E3" s="50"/>
      <c r="F3" s="49"/>
      <c r="G3" s="49"/>
      <c r="H3" s="127" t="s">
        <v>320</v>
      </c>
      <c r="I3" s="275">
        <v>34.5</v>
      </c>
      <c r="J3" s="275"/>
      <c r="K3" s="275"/>
      <c r="L3" s="243" t="s">
        <v>38</v>
      </c>
      <c r="M3" s="244"/>
      <c r="N3" s="251"/>
      <c r="O3" s="141"/>
      <c r="P3" s="268" t="s">
        <v>175</v>
      </c>
      <c r="Q3" s="241"/>
      <c r="R3" s="241"/>
      <c r="S3" s="241">
        <f>VLOOKUP(V2,TGK!AH1:AJ13,2,0)</f>
        <v>0.1194</v>
      </c>
      <c r="T3" s="241"/>
      <c r="U3" s="109" t="s">
        <v>61</v>
      </c>
      <c r="V3" s="109"/>
      <c r="AE3" s="45" t="s">
        <v>252</v>
      </c>
      <c r="AF3" s="139" t="s">
        <v>182</v>
      </c>
      <c r="AG3" s="145" t="s">
        <v>10</v>
      </c>
      <c r="AH3" s="139" t="s">
        <v>83</v>
      </c>
      <c r="AN3" s="45" t="s">
        <v>252</v>
      </c>
      <c r="AO3" s="139">
        <f>B17</f>
        <v>0.0754</v>
      </c>
      <c r="AP3" s="145" t="s">
        <v>10</v>
      </c>
      <c r="AQ3" s="248">
        <f>B16</f>
        <v>1200</v>
      </c>
      <c r="AR3" s="248"/>
      <c r="AS3" s="248"/>
      <c r="AZ3" s="45" t="s">
        <v>252</v>
      </c>
      <c r="BA3" s="248">
        <f>B17*(B16/10^3)</f>
        <v>0.09047999999999999</v>
      </c>
      <c r="BB3" s="248"/>
      <c r="BC3" s="252" t="s">
        <v>359</v>
      </c>
      <c r="BD3" s="252"/>
    </row>
    <row r="4" spans="1:56" ht="12.75" customHeight="1">
      <c r="A4" s="126" t="s">
        <v>409</v>
      </c>
      <c r="B4" s="275">
        <v>1.1</v>
      </c>
      <c r="C4" s="275"/>
      <c r="D4" s="74" t="s">
        <v>42</v>
      </c>
      <c r="E4" s="50"/>
      <c r="F4" s="49"/>
      <c r="G4" s="49"/>
      <c r="H4" s="127" t="s">
        <v>321</v>
      </c>
      <c r="I4" s="275">
        <v>100</v>
      </c>
      <c r="J4" s="275"/>
      <c r="K4" s="275"/>
      <c r="L4" s="251" t="s">
        <v>39</v>
      </c>
      <c r="M4" s="251"/>
      <c r="N4" s="251"/>
      <c r="O4" s="141"/>
      <c r="P4" s="268" t="s">
        <v>176</v>
      </c>
      <c r="Q4" s="241"/>
      <c r="R4" s="241"/>
      <c r="S4" s="241">
        <f>VLOOKUP(V2,TGK!AH1:AJ13,3,0)</f>
        <v>0.3427</v>
      </c>
      <c r="T4" s="241"/>
      <c r="U4" s="109" t="s">
        <v>61</v>
      </c>
      <c r="V4" s="109"/>
      <c r="AE4" s="45" t="s">
        <v>266</v>
      </c>
      <c r="AF4" s="139">
        <f>VLOOKUP(I17,TGK!AD1:AF3,3,0)</f>
        <v>4</v>
      </c>
      <c r="AG4" s="145" t="s">
        <v>10</v>
      </c>
      <c r="AH4" s="139" t="s">
        <v>267</v>
      </c>
      <c r="AN4" s="45" t="s">
        <v>266</v>
      </c>
      <c r="AO4" s="139">
        <f>VLOOKUP(I17,TGK!AD1:AF3,3,0)</f>
        <v>4</v>
      </c>
      <c r="AP4" s="145" t="s">
        <v>10</v>
      </c>
      <c r="AQ4" s="248">
        <f>BA2</f>
        <v>0.201588</v>
      </c>
      <c r="AR4" s="248"/>
      <c r="AS4" s="248"/>
      <c r="AZ4" s="45" t="s">
        <v>266</v>
      </c>
      <c r="BA4" s="248">
        <f>AF4*BA2</f>
        <v>0.806352</v>
      </c>
      <c r="BB4" s="248"/>
      <c r="BC4" s="252" t="s">
        <v>359</v>
      </c>
      <c r="BD4" s="252"/>
    </row>
    <row r="5" spans="8:56" ht="12.75" customHeight="1">
      <c r="H5" s="127" t="s">
        <v>322</v>
      </c>
      <c r="I5" s="275">
        <v>100</v>
      </c>
      <c r="J5" s="275"/>
      <c r="K5" s="275"/>
      <c r="L5" s="251" t="s">
        <v>1</v>
      </c>
      <c r="M5" s="251"/>
      <c r="N5" s="251"/>
      <c r="O5" s="141"/>
      <c r="P5" s="263" t="s">
        <v>73</v>
      </c>
      <c r="Q5" s="264"/>
      <c r="R5" s="264"/>
      <c r="S5" s="275">
        <v>4080</v>
      </c>
      <c r="T5" s="275"/>
      <c r="U5" s="48" t="s">
        <v>74</v>
      </c>
      <c r="V5" s="48"/>
      <c r="AE5" s="45" t="s">
        <v>260</v>
      </c>
      <c r="AF5" s="139">
        <f>VLOOKUP(I17,TGK!AD1:AF3,2,0)</f>
        <v>8</v>
      </c>
      <c r="AG5" s="145" t="s">
        <v>10</v>
      </c>
      <c r="AH5" s="139" t="s">
        <v>261</v>
      </c>
      <c r="AN5" s="45" t="s">
        <v>260</v>
      </c>
      <c r="AO5" s="139">
        <f>VLOOKUP(I17,TGK!AD1:AF3,2,0)</f>
        <v>8</v>
      </c>
      <c r="AP5" s="145" t="s">
        <v>10</v>
      </c>
      <c r="AQ5" s="248">
        <f>BA3</f>
        <v>0.09047999999999999</v>
      </c>
      <c r="AR5" s="248"/>
      <c r="AS5" s="248"/>
      <c r="AZ5" s="45" t="s">
        <v>260</v>
      </c>
      <c r="BA5" s="248">
        <f>AF5*BA3</f>
        <v>0.7238399999999999</v>
      </c>
      <c r="BB5" s="248"/>
      <c r="BC5" s="252" t="s">
        <v>359</v>
      </c>
      <c r="BD5" s="252"/>
    </row>
    <row r="6" spans="8:56" ht="12.75" customHeight="1">
      <c r="H6" s="127" t="s">
        <v>302</v>
      </c>
      <c r="I6" s="275">
        <v>11.9</v>
      </c>
      <c r="J6" s="275"/>
      <c r="K6" s="275"/>
      <c r="L6" s="251" t="s">
        <v>41</v>
      </c>
      <c r="M6" s="251"/>
      <c r="N6" s="251"/>
      <c r="O6" s="141"/>
      <c r="P6" s="62"/>
      <c r="Q6" s="48"/>
      <c r="R6" s="48"/>
      <c r="S6" s="48"/>
      <c r="T6" s="48"/>
      <c r="AF6" s="139"/>
      <c r="AG6" s="145"/>
      <c r="AH6" s="139"/>
      <c r="AO6" s="139"/>
      <c r="AP6" s="145"/>
      <c r="AQ6" s="248"/>
      <c r="AR6" s="248"/>
      <c r="AS6" s="248"/>
      <c r="BC6" s="141"/>
      <c r="BD6" s="141"/>
    </row>
    <row r="7" spans="8:56" ht="12.75" customHeight="1">
      <c r="H7" s="128" t="s">
        <v>323</v>
      </c>
      <c r="I7" s="265">
        <v>0.7</v>
      </c>
      <c r="J7" s="273"/>
      <c r="K7" s="266"/>
      <c r="L7" s="251" t="s">
        <v>41</v>
      </c>
      <c r="M7" s="251"/>
      <c r="N7" s="251"/>
      <c r="O7" s="141"/>
      <c r="P7" s="62"/>
      <c r="Q7" s="48"/>
      <c r="R7" s="48"/>
      <c r="S7" s="48"/>
      <c r="T7" s="48"/>
      <c r="AE7" s="45" t="s">
        <v>262</v>
      </c>
      <c r="AF7" s="139" t="s">
        <v>183</v>
      </c>
      <c r="AG7" s="145" t="s">
        <v>10</v>
      </c>
      <c r="AH7" s="139" t="s">
        <v>83</v>
      </c>
      <c r="AN7" s="45" t="s">
        <v>262</v>
      </c>
      <c r="AO7" s="139">
        <f>R18</f>
        <v>0.179608</v>
      </c>
      <c r="AP7" s="145" t="s">
        <v>10</v>
      </c>
      <c r="AQ7" s="248">
        <f>R16</f>
        <v>350</v>
      </c>
      <c r="AR7" s="248"/>
      <c r="AS7" s="248"/>
      <c r="AZ7" s="45" t="s">
        <v>262</v>
      </c>
      <c r="BA7" s="248">
        <f>R18*(R16/10^3)</f>
        <v>0.0628628</v>
      </c>
      <c r="BB7" s="248"/>
      <c r="BC7" s="252" t="s">
        <v>359</v>
      </c>
      <c r="BD7" s="252"/>
    </row>
    <row r="8" spans="1:56" ht="12" customHeight="1">
      <c r="A8" s="293" t="s">
        <v>86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154"/>
      <c r="P8" s="276" t="s">
        <v>85</v>
      </c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E8" s="45" t="s">
        <v>252</v>
      </c>
      <c r="AF8" s="139" t="s">
        <v>184</v>
      </c>
      <c r="AG8" s="145" t="s">
        <v>10</v>
      </c>
      <c r="AH8" s="139" t="s">
        <v>83</v>
      </c>
      <c r="AN8" s="45" t="s">
        <v>252</v>
      </c>
      <c r="AO8" s="139">
        <f>R17</f>
        <v>0.124</v>
      </c>
      <c r="AP8" s="145" t="s">
        <v>10</v>
      </c>
      <c r="AQ8" s="248">
        <f>R16</f>
        <v>350</v>
      </c>
      <c r="AR8" s="248"/>
      <c r="AS8" s="248"/>
      <c r="AZ8" s="45" t="s">
        <v>252</v>
      </c>
      <c r="BA8" s="248">
        <f>R17*(R16/10^3)</f>
        <v>0.043399999999999994</v>
      </c>
      <c r="BB8" s="248"/>
      <c r="BC8" s="252" t="s">
        <v>359</v>
      </c>
      <c r="BD8" s="252"/>
    </row>
    <row r="9" spans="1:56" ht="12.75" customHeight="1">
      <c r="A9" s="274" t="s">
        <v>56</v>
      </c>
      <c r="B9" s="274"/>
      <c r="C9" s="274"/>
      <c r="D9" s="274"/>
      <c r="E9" s="153"/>
      <c r="F9" s="275" t="s">
        <v>162</v>
      </c>
      <c r="G9" s="275"/>
      <c r="H9" s="275"/>
      <c r="I9" s="275"/>
      <c r="J9" s="275"/>
      <c r="K9" s="275"/>
      <c r="L9" s="275"/>
      <c r="M9" s="150"/>
      <c r="P9" s="271" t="s">
        <v>56</v>
      </c>
      <c r="Q9" s="272"/>
      <c r="R9" s="272"/>
      <c r="S9" s="272"/>
      <c r="T9" s="272"/>
      <c r="U9" s="272"/>
      <c r="V9" s="275" t="s">
        <v>156</v>
      </c>
      <c r="W9" s="275"/>
      <c r="X9" s="275"/>
      <c r="Y9" s="275"/>
      <c r="Z9" s="275"/>
      <c r="AA9" s="275"/>
      <c r="AE9" s="45" t="s">
        <v>266</v>
      </c>
      <c r="AF9" s="139">
        <f>VLOOKUP(Z17,TGK!AD1:AF3,3,0)</f>
        <v>7</v>
      </c>
      <c r="AG9" s="145" t="s">
        <v>10</v>
      </c>
      <c r="AH9" s="139" t="s">
        <v>267</v>
      </c>
      <c r="AN9" s="45" t="s">
        <v>266</v>
      </c>
      <c r="AO9" s="139">
        <f>VLOOKUP(Z17,TGK!AD1:AF3,3,0)</f>
        <v>7</v>
      </c>
      <c r="AP9" s="145" t="s">
        <v>10</v>
      </c>
      <c r="AQ9" s="248">
        <f>BA7</f>
        <v>0.0628628</v>
      </c>
      <c r="AR9" s="248"/>
      <c r="AS9" s="248"/>
      <c r="AZ9" s="45" t="s">
        <v>266</v>
      </c>
      <c r="BA9" s="248">
        <f>AF9*BA7</f>
        <v>0.4400396</v>
      </c>
      <c r="BB9" s="248"/>
      <c r="BC9" s="252" t="s">
        <v>359</v>
      </c>
      <c r="BD9" s="252"/>
    </row>
    <row r="10" spans="1:56" ht="12.75" customHeight="1">
      <c r="A10" s="161" t="s">
        <v>177</v>
      </c>
      <c r="B10" s="248">
        <f>VLOOKUP(F9,TGK!AH1:AJ13,2,0)</f>
        <v>0.1194</v>
      </c>
      <c r="C10" s="248"/>
      <c r="D10" s="109" t="s">
        <v>61</v>
      </c>
      <c r="E10" s="109"/>
      <c r="P10" s="268" t="s">
        <v>179</v>
      </c>
      <c r="Q10" s="241"/>
      <c r="R10" s="241"/>
      <c r="S10" s="241">
        <f>VLOOKUP(V9,TGK!AH1:AJ13,2,0)</f>
        <v>1.0742</v>
      </c>
      <c r="T10" s="241"/>
      <c r="U10" s="109" t="s">
        <v>61</v>
      </c>
      <c r="Z10" s="109"/>
      <c r="AE10" s="45" t="s">
        <v>260</v>
      </c>
      <c r="AF10" s="139">
        <f>VLOOKUP(Z17,TGK!AD1:AF3,2,0)</f>
        <v>3</v>
      </c>
      <c r="AG10" s="145" t="s">
        <v>10</v>
      </c>
      <c r="AH10" s="139" t="s">
        <v>261</v>
      </c>
      <c r="AN10" s="45" t="s">
        <v>260</v>
      </c>
      <c r="AO10" s="139">
        <f>VLOOKUP(Z17,TGK!AD1:AF3,2,0)</f>
        <v>3</v>
      </c>
      <c r="AP10" s="145" t="s">
        <v>10</v>
      </c>
      <c r="AQ10" s="248">
        <f>BA8</f>
        <v>0.043399999999999994</v>
      </c>
      <c r="AR10" s="248"/>
      <c r="AS10" s="248"/>
      <c r="AZ10" s="45" t="s">
        <v>260</v>
      </c>
      <c r="BA10" s="248">
        <f>AF10*BA8</f>
        <v>0.13019999999999998</v>
      </c>
      <c r="BB10" s="248"/>
      <c r="BC10" s="252" t="s">
        <v>359</v>
      </c>
      <c r="BD10" s="252"/>
    </row>
    <row r="11" spans="1:56" ht="12.75" customHeight="1">
      <c r="A11" s="161" t="s">
        <v>178</v>
      </c>
      <c r="B11" s="248">
        <f>VLOOKUP(F9,TGK!AH1:AJ13,3,0)</f>
        <v>0.3427</v>
      </c>
      <c r="C11" s="248"/>
      <c r="D11" s="109" t="s">
        <v>61</v>
      </c>
      <c r="E11" s="109"/>
      <c r="P11" s="268" t="s">
        <v>180</v>
      </c>
      <c r="Q11" s="241"/>
      <c r="R11" s="241"/>
      <c r="S11" s="241">
        <f>VLOOKUP(V9,TGK!AH1:AJ13,3,0)</f>
        <v>0.4644</v>
      </c>
      <c r="T11" s="241"/>
      <c r="U11" s="109" t="s">
        <v>61</v>
      </c>
      <c r="Z11" s="109"/>
      <c r="AF11" s="139"/>
      <c r="AG11" s="145"/>
      <c r="AH11" s="139"/>
      <c r="AO11" s="139"/>
      <c r="AP11" s="145"/>
      <c r="AQ11" s="248"/>
      <c r="AR11" s="248"/>
      <c r="AS11" s="248"/>
      <c r="BC11" s="141"/>
      <c r="BD11" s="141"/>
    </row>
    <row r="12" spans="1:56" ht="12.75" customHeight="1">
      <c r="A12" s="126" t="s">
        <v>73</v>
      </c>
      <c r="B12" s="275">
        <v>0</v>
      </c>
      <c r="C12" s="275"/>
      <c r="D12" s="45" t="s">
        <v>74</v>
      </c>
      <c r="P12" s="263" t="s">
        <v>73</v>
      </c>
      <c r="Q12" s="264"/>
      <c r="R12" s="264"/>
      <c r="S12" s="275">
        <v>0</v>
      </c>
      <c r="T12" s="275"/>
      <c r="U12" s="48" t="s">
        <v>74</v>
      </c>
      <c r="Z12" s="48"/>
      <c r="AE12" s="45" t="s">
        <v>262</v>
      </c>
      <c r="AF12" s="139" t="s">
        <v>185</v>
      </c>
      <c r="AG12" s="145" t="s">
        <v>10</v>
      </c>
      <c r="AH12" s="139" t="s">
        <v>83</v>
      </c>
      <c r="AN12" s="45" t="s">
        <v>262</v>
      </c>
      <c r="AO12" s="139">
        <f>B24</f>
        <v>0.224824</v>
      </c>
      <c r="AP12" s="145" t="s">
        <v>10</v>
      </c>
      <c r="AQ12" s="248">
        <f>B22</f>
        <v>0</v>
      </c>
      <c r="AR12" s="248"/>
      <c r="AS12" s="248"/>
      <c r="AZ12" s="45" t="s">
        <v>262</v>
      </c>
      <c r="BA12" s="248">
        <f>B24*(B22/10^3)</f>
        <v>0</v>
      </c>
      <c r="BB12" s="248"/>
      <c r="BC12" s="252" t="s">
        <v>359</v>
      </c>
      <c r="BD12" s="252"/>
    </row>
    <row r="13" spans="1:56" ht="12" customHeight="1">
      <c r="A13" s="284" t="s">
        <v>171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156"/>
      <c r="P13" s="285" t="s">
        <v>172</v>
      </c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E13" s="45" t="s">
        <v>252</v>
      </c>
      <c r="AF13" s="139" t="s">
        <v>186</v>
      </c>
      <c r="AG13" s="145" t="s">
        <v>10</v>
      </c>
      <c r="AH13" s="139" t="s">
        <v>83</v>
      </c>
      <c r="AN13" s="45" t="s">
        <v>252</v>
      </c>
      <c r="AO13" s="139">
        <f>B23</f>
        <v>0.727</v>
      </c>
      <c r="AP13" s="145" t="s">
        <v>10</v>
      </c>
      <c r="AQ13" s="248">
        <f>B22</f>
        <v>0</v>
      </c>
      <c r="AR13" s="248"/>
      <c r="AS13" s="248"/>
      <c r="AZ13" s="45" t="s">
        <v>252</v>
      </c>
      <c r="BA13" s="248">
        <f>B23*(B22/10^3)</f>
        <v>0</v>
      </c>
      <c r="BB13" s="248"/>
      <c r="BC13" s="252" t="s">
        <v>359</v>
      </c>
      <c r="BD13" s="252"/>
    </row>
    <row r="14" spans="1:56" ht="12.75" customHeight="1">
      <c r="A14" s="294" t="s">
        <v>173</v>
      </c>
      <c r="B14" s="294"/>
      <c r="C14" s="294"/>
      <c r="D14" s="294"/>
      <c r="E14" s="155"/>
      <c r="F14" s="275" t="s">
        <v>97</v>
      </c>
      <c r="G14" s="275"/>
      <c r="H14" s="275"/>
      <c r="I14" s="275"/>
      <c r="J14" s="150"/>
      <c r="P14" s="271" t="s">
        <v>173</v>
      </c>
      <c r="Q14" s="272"/>
      <c r="R14" s="272"/>
      <c r="S14" s="272"/>
      <c r="T14" s="272"/>
      <c r="U14" s="272"/>
      <c r="V14" s="275" t="s">
        <v>95</v>
      </c>
      <c r="W14" s="275"/>
      <c r="X14" s="275"/>
      <c r="Y14" s="275"/>
      <c r="AE14" s="45" t="s">
        <v>266</v>
      </c>
      <c r="AF14" s="139">
        <f>VLOOKUP(I23,TGK!AD1:AF3,3,0)</f>
        <v>7</v>
      </c>
      <c r="AG14" s="145" t="s">
        <v>10</v>
      </c>
      <c r="AH14" s="139" t="s">
        <v>267</v>
      </c>
      <c r="AN14" s="45" t="s">
        <v>266</v>
      </c>
      <c r="AO14" s="139">
        <f>VLOOKUP(I23,TGK!AD1:AF3,3,0)</f>
        <v>7</v>
      </c>
      <c r="AP14" s="145" t="s">
        <v>10</v>
      </c>
      <c r="AQ14" s="248">
        <f>BA12</f>
        <v>0</v>
      </c>
      <c r="AR14" s="248"/>
      <c r="AS14" s="248"/>
      <c r="AZ14" s="45" t="s">
        <v>266</v>
      </c>
      <c r="BA14" s="248">
        <f>AF14*BA12</f>
        <v>0</v>
      </c>
      <c r="BB14" s="248"/>
      <c r="BC14" s="252" t="s">
        <v>359</v>
      </c>
      <c r="BD14" s="252"/>
    </row>
    <row r="15" spans="1:56" ht="12.75" customHeight="1">
      <c r="A15" s="278" t="s">
        <v>87</v>
      </c>
      <c r="B15" s="278"/>
      <c r="C15" s="278"/>
      <c r="D15" s="278"/>
      <c r="E15" s="151"/>
      <c r="F15" s="275" t="s">
        <v>115</v>
      </c>
      <c r="G15" s="275"/>
      <c r="H15" s="275"/>
      <c r="I15" s="275"/>
      <c r="J15" s="150"/>
      <c r="L15" s="75"/>
      <c r="M15" s="75"/>
      <c r="N15" s="75"/>
      <c r="O15" s="75"/>
      <c r="P15" s="271" t="s">
        <v>87</v>
      </c>
      <c r="Q15" s="272"/>
      <c r="R15" s="272"/>
      <c r="S15" s="272"/>
      <c r="T15" s="272"/>
      <c r="U15" s="272"/>
      <c r="V15" s="275" t="s">
        <v>115</v>
      </c>
      <c r="W15" s="275"/>
      <c r="X15" s="275"/>
      <c r="Y15" s="275"/>
      <c r="AE15" s="45" t="s">
        <v>260</v>
      </c>
      <c r="AF15" s="139">
        <f>VLOOKUP(I23,TGK!AD1:AF3,2,0)</f>
        <v>3</v>
      </c>
      <c r="AG15" s="145" t="s">
        <v>10</v>
      </c>
      <c r="AH15" s="139" t="s">
        <v>261</v>
      </c>
      <c r="AN15" s="45" t="s">
        <v>260</v>
      </c>
      <c r="AO15" s="139">
        <f>VLOOKUP(I23,TGK!AD1:AF3,2,0)</f>
        <v>3</v>
      </c>
      <c r="AP15" s="145" t="s">
        <v>10</v>
      </c>
      <c r="AQ15" s="248">
        <f>BA13</f>
        <v>0</v>
      </c>
      <c r="AR15" s="248"/>
      <c r="AS15" s="248"/>
      <c r="AZ15" s="45" t="s">
        <v>260</v>
      </c>
      <c r="BA15" s="248">
        <f>AF15*BA13</f>
        <v>0</v>
      </c>
      <c r="BB15" s="248"/>
      <c r="BC15" s="252" t="s">
        <v>359</v>
      </c>
      <c r="BD15" s="252"/>
    </row>
    <row r="16" spans="1:59" ht="12">
      <c r="A16" s="126" t="s">
        <v>73</v>
      </c>
      <c r="B16" s="265">
        <v>1200</v>
      </c>
      <c r="C16" s="266"/>
      <c r="D16" s="45" t="s">
        <v>74</v>
      </c>
      <c r="P16" s="263" t="s">
        <v>73</v>
      </c>
      <c r="Q16" s="264"/>
      <c r="R16" s="265">
        <v>350</v>
      </c>
      <c r="S16" s="273"/>
      <c r="T16" s="266"/>
      <c r="U16" s="48" t="s">
        <v>74</v>
      </c>
      <c r="AE16" s="292" t="s">
        <v>128</v>
      </c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</row>
    <row r="17" spans="1:56" ht="14.25" customHeight="1">
      <c r="A17" s="161" t="s">
        <v>70</v>
      </c>
      <c r="B17" s="257">
        <f>VLOOKUP(F14,TGK!W2:X24,2,0)</f>
        <v>0.0754</v>
      </c>
      <c r="C17" s="257"/>
      <c r="D17" s="109" t="s">
        <v>61</v>
      </c>
      <c r="E17" s="109"/>
      <c r="F17" s="274" t="s">
        <v>189</v>
      </c>
      <c r="G17" s="274"/>
      <c r="H17" s="274"/>
      <c r="I17" s="265" t="s">
        <v>120</v>
      </c>
      <c r="J17" s="273"/>
      <c r="K17" s="273"/>
      <c r="L17" s="273"/>
      <c r="M17" s="273"/>
      <c r="N17" s="266"/>
      <c r="O17" s="150"/>
      <c r="P17" s="268" t="s">
        <v>70</v>
      </c>
      <c r="Q17" s="241"/>
      <c r="R17" s="241">
        <f>VLOOKUP(V14,TGK!W2:X24,2,0)</f>
        <v>0.124</v>
      </c>
      <c r="S17" s="241"/>
      <c r="T17" s="241"/>
      <c r="U17" s="109" t="s">
        <v>61</v>
      </c>
      <c r="W17" s="274" t="s">
        <v>189</v>
      </c>
      <c r="X17" s="274"/>
      <c r="Y17" s="274"/>
      <c r="Z17" s="265" t="s">
        <v>124</v>
      </c>
      <c r="AA17" s="273"/>
      <c r="AB17" s="273"/>
      <c r="AC17" s="266"/>
      <c r="AE17" s="262" t="s">
        <v>324</v>
      </c>
      <c r="AF17" s="143" t="s">
        <v>297</v>
      </c>
      <c r="AG17" s="65" t="s">
        <v>10</v>
      </c>
      <c r="AH17" s="143" t="s">
        <v>325</v>
      </c>
      <c r="AN17" s="262" t="s">
        <v>324</v>
      </c>
      <c r="AO17" s="143">
        <f>T23</f>
        <v>6</v>
      </c>
      <c r="AP17" s="114" t="s">
        <v>10</v>
      </c>
      <c r="AQ17" s="114" t="s">
        <v>410</v>
      </c>
      <c r="AR17" s="139">
        <f>T21</f>
        <v>0.4</v>
      </c>
      <c r="AS17" s="114" t="s">
        <v>10</v>
      </c>
      <c r="AT17" s="191" t="s">
        <v>411</v>
      </c>
      <c r="AU17" s="60" t="s">
        <v>412</v>
      </c>
      <c r="AV17" s="172">
        <v>2</v>
      </c>
      <c r="AW17" s="48"/>
      <c r="AZ17" s="141" t="s">
        <v>326</v>
      </c>
      <c r="BA17" s="289">
        <f>(T23/100)*(T21*10^3)^2/(T22*10^3)</f>
        <v>0.0096</v>
      </c>
      <c r="BB17" s="289"/>
      <c r="BC17" s="252" t="s">
        <v>359</v>
      </c>
      <c r="BD17" s="252"/>
    </row>
    <row r="18" spans="1:56" ht="15" customHeight="1">
      <c r="A18" s="161" t="s">
        <v>71</v>
      </c>
      <c r="B18" s="248">
        <f>INDEX(TGK!Z1:AB24,MATCH(KISADEVRE_IEC!F14,TGK!Z1:Z24,0),MATCH(KISADEVRE_IEC!F15,TGK!Z1:AB1,0))</f>
        <v>0.16799</v>
      </c>
      <c r="C18" s="248"/>
      <c r="D18" s="109" t="s">
        <v>61</v>
      </c>
      <c r="E18" s="109"/>
      <c r="P18" s="268" t="s">
        <v>71</v>
      </c>
      <c r="Q18" s="241"/>
      <c r="R18" s="241">
        <f>INDEX(TGK!Z1:AB24,MATCH(KISADEVRE_IEC!V14,TGK!Z1:Z24,0),MATCH(KISADEVRE_IEC!V15,TGK!Z1:AB1,0))</f>
        <v>0.179608</v>
      </c>
      <c r="S18" s="241"/>
      <c r="T18" s="241"/>
      <c r="U18" s="109" t="s">
        <v>61</v>
      </c>
      <c r="AE18" s="262"/>
      <c r="AF18" s="147">
        <v>100</v>
      </c>
      <c r="AG18" s="76" t="s">
        <v>10</v>
      </c>
      <c r="AH18" s="147" t="s">
        <v>327</v>
      </c>
      <c r="AN18" s="262"/>
      <c r="AO18" s="147">
        <v>100</v>
      </c>
      <c r="AP18" s="76" t="s">
        <v>10</v>
      </c>
      <c r="AQ18" s="122" t="s">
        <v>410</v>
      </c>
      <c r="AR18" s="146">
        <f>T22</f>
        <v>1000</v>
      </c>
      <c r="AS18" s="122" t="s">
        <v>10</v>
      </c>
      <c r="AT18" s="147" t="s">
        <v>411</v>
      </c>
      <c r="AU18" s="67" t="s">
        <v>412</v>
      </c>
      <c r="AV18" s="121">
        <v>2</v>
      </c>
      <c r="AW18" s="48"/>
      <c r="AZ18" s="141" t="s">
        <v>328</v>
      </c>
      <c r="BA18" s="248">
        <f>AO20*(T21*10^3)^2/(T22*10^3)^2</f>
        <v>0.001952</v>
      </c>
      <c r="BB18" s="248"/>
      <c r="BC18" s="252" t="s">
        <v>359</v>
      </c>
      <c r="BD18" s="252"/>
    </row>
    <row r="19" spans="1:56" ht="12" customHeight="1">
      <c r="A19" s="270" t="s">
        <v>174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90" t="s">
        <v>190</v>
      </c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U19" s="48"/>
      <c r="AV19" s="48"/>
      <c r="AZ19" s="141" t="s">
        <v>329</v>
      </c>
      <c r="BA19" s="248">
        <f>SQRT(BA17^2-BA18^2)</f>
        <v>0.009399451898914106</v>
      </c>
      <c r="BB19" s="248"/>
      <c r="BC19" s="252" t="s">
        <v>359</v>
      </c>
      <c r="BD19" s="252"/>
    </row>
    <row r="20" spans="1:52" ht="15" customHeight="1">
      <c r="A20" s="278" t="s">
        <v>173</v>
      </c>
      <c r="B20" s="278"/>
      <c r="C20" s="278"/>
      <c r="D20" s="278"/>
      <c r="E20" s="151"/>
      <c r="F20" s="275" t="s">
        <v>89</v>
      </c>
      <c r="G20" s="275"/>
      <c r="H20" s="275"/>
      <c r="I20" s="275"/>
      <c r="J20" s="150"/>
      <c r="P20" s="263" t="s">
        <v>318</v>
      </c>
      <c r="Q20" s="264"/>
      <c r="R20" s="264"/>
      <c r="S20" s="264"/>
      <c r="T20" s="265">
        <v>34.5</v>
      </c>
      <c r="U20" s="266"/>
      <c r="V20" s="45" t="s">
        <v>38</v>
      </c>
      <c r="X20" s="129" t="s">
        <v>330</v>
      </c>
      <c r="Y20" s="275">
        <v>0.5</v>
      </c>
      <c r="Z20" s="275"/>
      <c r="AC20" s="48"/>
      <c r="AE20" s="262" t="s">
        <v>331</v>
      </c>
      <c r="AF20" s="144" t="s">
        <v>413</v>
      </c>
      <c r="AG20" s="66" t="s">
        <v>10</v>
      </c>
      <c r="AH20" s="144" t="s">
        <v>325</v>
      </c>
      <c r="AN20" s="262" t="s">
        <v>331</v>
      </c>
      <c r="AO20" s="144">
        <f>Y21*1000</f>
        <v>12200</v>
      </c>
      <c r="AP20" s="77" t="s">
        <v>10</v>
      </c>
      <c r="AQ20" s="81" t="s">
        <v>410</v>
      </c>
      <c r="AR20" s="144">
        <f>T21</f>
        <v>0.4</v>
      </c>
      <c r="AS20" s="77" t="s">
        <v>10</v>
      </c>
      <c r="AT20" s="152" t="s">
        <v>411</v>
      </c>
      <c r="AU20" s="60" t="s">
        <v>412</v>
      </c>
      <c r="AV20" s="172">
        <v>2</v>
      </c>
      <c r="AW20" s="48"/>
      <c r="AZ20" s="141"/>
    </row>
    <row r="21" spans="1:56" ht="15" customHeight="1">
      <c r="A21" s="278" t="s">
        <v>87</v>
      </c>
      <c r="B21" s="278"/>
      <c r="C21" s="278"/>
      <c r="D21" s="278"/>
      <c r="E21" s="151"/>
      <c r="F21" s="275" t="s">
        <v>115</v>
      </c>
      <c r="G21" s="275"/>
      <c r="H21" s="275"/>
      <c r="I21" s="275"/>
      <c r="J21" s="150"/>
      <c r="L21" s="75"/>
      <c r="M21" s="75"/>
      <c r="N21" s="75"/>
      <c r="O21" s="75"/>
      <c r="P21" s="263" t="s">
        <v>320</v>
      </c>
      <c r="Q21" s="264"/>
      <c r="R21" s="264"/>
      <c r="S21" s="264"/>
      <c r="T21" s="265">
        <v>0.4</v>
      </c>
      <c r="U21" s="266"/>
      <c r="V21" s="45" t="s">
        <v>38</v>
      </c>
      <c r="W21" s="48"/>
      <c r="X21" s="129" t="s">
        <v>333</v>
      </c>
      <c r="Y21" s="275">
        <v>12.2</v>
      </c>
      <c r="Z21" s="275"/>
      <c r="AA21" s="243" t="s">
        <v>1</v>
      </c>
      <c r="AB21" s="251"/>
      <c r="AC21" s="48"/>
      <c r="AE21" s="262"/>
      <c r="AF21" s="257" t="s">
        <v>414</v>
      </c>
      <c r="AG21" s="257"/>
      <c r="AH21" s="257"/>
      <c r="AN21" s="262"/>
      <c r="AO21" s="79"/>
      <c r="AP21" s="79" t="s">
        <v>410</v>
      </c>
      <c r="AQ21" s="257">
        <f>T22</f>
        <v>1000</v>
      </c>
      <c r="AR21" s="257"/>
      <c r="AS21" s="122" t="s">
        <v>10</v>
      </c>
      <c r="AT21" s="147" t="s">
        <v>411</v>
      </c>
      <c r="AU21" s="45" t="s">
        <v>412</v>
      </c>
      <c r="AV21" s="121">
        <v>2</v>
      </c>
      <c r="AW21" s="48"/>
      <c r="AZ21" s="162" t="s">
        <v>334</v>
      </c>
      <c r="BA21" s="289">
        <f>BA19/((T21*10^3)^2/(T22*10^3))</f>
        <v>0.058746574368213164</v>
      </c>
      <c r="BB21" s="289"/>
      <c r="BC21" s="252"/>
      <c r="BD21" s="252"/>
    </row>
    <row r="22" spans="1:56" ht="12" customHeight="1">
      <c r="A22" s="126" t="s">
        <v>73</v>
      </c>
      <c r="B22" s="265">
        <v>0</v>
      </c>
      <c r="C22" s="266"/>
      <c r="D22" s="45" t="s">
        <v>74</v>
      </c>
      <c r="P22" s="263" t="s">
        <v>335</v>
      </c>
      <c r="Q22" s="264"/>
      <c r="R22" s="264"/>
      <c r="S22" s="264"/>
      <c r="T22" s="265">
        <v>1000</v>
      </c>
      <c r="U22" s="266"/>
      <c r="V22" s="243" t="s">
        <v>20</v>
      </c>
      <c r="W22" s="251"/>
      <c r="X22" s="129" t="s">
        <v>409</v>
      </c>
      <c r="Y22" s="275">
        <v>1.05</v>
      </c>
      <c r="Z22" s="275"/>
      <c r="AC22" s="48"/>
      <c r="AT22" s="139"/>
      <c r="AV22" s="141"/>
      <c r="AZ22" s="162" t="s">
        <v>336</v>
      </c>
      <c r="BA22" s="248">
        <f>AF26*(Y22/(1+(0.6*BA21)))</f>
        <v>0.963537290929131</v>
      </c>
      <c r="BB22" s="248"/>
      <c r="BC22" s="252"/>
      <c r="BD22" s="252"/>
    </row>
    <row r="23" spans="1:52" ht="15" customHeight="1">
      <c r="A23" s="161" t="s">
        <v>70</v>
      </c>
      <c r="B23" s="257">
        <f>VLOOKUP(F20,TGK!W2:X24,2,0)</f>
        <v>0.727</v>
      </c>
      <c r="C23" s="257"/>
      <c r="D23" s="109" t="s">
        <v>61</v>
      </c>
      <c r="E23" s="109"/>
      <c r="F23" s="274" t="s">
        <v>189</v>
      </c>
      <c r="G23" s="274"/>
      <c r="H23" s="274"/>
      <c r="I23" s="265" t="s">
        <v>124</v>
      </c>
      <c r="J23" s="273"/>
      <c r="K23" s="273"/>
      <c r="L23" s="273"/>
      <c r="M23" s="273"/>
      <c r="N23" s="266"/>
      <c r="O23" s="150"/>
      <c r="P23" s="263" t="s">
        <v>337</v>
      </c>
      <c r="Q23" s="264"/>
      <c r="R23" s="264"/>
      <c r="S23" s="264"/>
      <c r="T23" s="265">
        <v>6</v>
      </c>
      <c r="U23" s="266"/>
      <c r="W23" s="48"/>
      <c r="X23" s="48"/>
      <c r="Y23" s="48"/>
      <c r="Z23" s="48"/>
      <c r="AA23" s="48"/>
      <c r="AB23" s="48"/>
      <c r="AC23" s="48"/>
      <c r="AE23" s="253" t="s">
        <v>334</v>
      </c>
      <c r="AF23" s="253" t="s">
        <v>338</v>
      </c>
      <c r="AG23" s="267" t="s">
        <v>10</v>
      </c>
      <c r="AH23" s="143" t="s">
        <v>325</v>
      </c>
      <c r="AN23" s="253" t="s">
        <v>334</v>
      </c>
      <c r="AO23" s="253">
        <f>BA19</f>
        <v>0.009399451898914106</v>
      </c>
      <c r="AP23" s="267" t="s">
        <v>10</v>
      </c>
      <c r="AQ23" s="60" t="s">
        <v>410</v>
      </c>
      <c r="AR23" s="144">
        <f>T21</f>
        <v>0.4</v>
      </c>
      <c r="AS23" s="77" t="s">
        <v>10</v>
      </c>
      <c r="AT23" s="152" t="s">
        <v>411</v>
      </c>
      <c r="AU23" s="60" t="s">
        <v>412</v>
      </c>
      <c r="AV23" s="172">
        <v>2</v>
      </c>
      <c r="AZ23" s="162"/>
    </row>
    <row r="24" spans="1:56" ht="13.5" customHeight="1">
      <c r="A24" s="161" t="s">
        <v>71</v>
      </c>
      <c r="B24" s="248">
        <f>INDEX(TGK!Z1:AB24,MATCH(KISADEVRE_IEC!F20,TGK!Z1:Z24,0),MATCH(KISADEVRE_IEC!F21,TGK!Z1:AB1,0))</f>
        <v>0.224824</v>
      </c>
      <c r="C24" s="248"/>
      <c r="D24" s="109" t="s">
        <v>61</v>
      </c>
      <c r="E24" s="109"/>
      <c r="P24" s="62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E24" s="253"/>
      <c r="AF24" s="253"/>
      <c r="AG24" s="267"/>
      <c r="AH24" s="147" t="s">
        <v>327</v>
      </c>
      <c r="AN24" s="253"/>
      <c r="AO24" s="253"/>
      <c r="AP24" s="253"/>
      <c r="AR24" s="257">
        <f>T22</f>
        <v>1000</v>
      </c>
      <c r="AS24" s="257"/>
      <c r="AT24" s="257"/>
      <c r="AZ24" s="141" t="s">
        <v>339</v>
      </c>
      <c r="BA24" s="248">
        <f>BA19*BA22</f>
        <v>0.009056722418898374</v>
      </c>
      <c r="BB24" s="248"/>
      <c r="BC24" s="252" t="s">
        <v>359</v>
      </c>
      <c r="BD24" s="252"/>
    </row>
    <row r="25" spans="1:56" ht="12" customHeight="1">
      <c r="A25" s="269" t="s">
        <v>43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Z25" s="141" t="s">
        <v>340</v>
      </c>
      <c r="BA25" s="248">
        <f>BA18*BA22</f>
        <v>0.0018808247918936636</v>
      </c>
      <c r="BB25" s="248"/>
      <c r="BC25" s="252" t="s">
        <v>359</v>
      </c>
      <c r="BD25" s="252"/>
    </row>
    <row r="26" spans="1:56" ht="16.5" customHeight="1">
      <c r="A26" s="253" t="s">
        <v>341</v>
      </c>
      <c r="B26" s="144" t="s">
        <v>44</v>
      </c>
      <c r="C26" s="77" t="s">
        <v>10</v>
      </c>
      <c r="D26" s="144" t="s">
        <v>342</v>
      </c>
      <c r="E26" s="150"/>
      <c r="I26" s="253" t="s">
        <v>341</v>
      </c>
      <c r="J26" s="143"/>
      <c r="K26" s="144">
        <f>B4</f>
        <v>1.1</v>
      </c>
      <c r="L26" s="77" t="s">
        <v>10</v>
      </c>
      <c r="M26" s="77" t="s">
        <v>410</v>
      </c>
      <c r="N26" s="144">
        <f>I3</f>
        <v>34.5</v>
      </c>
      <c r="O26" s="77" t="s">
        <v>10</v>
      </c>
      <c r="P26" s="240" t="s">
        <v>411</v>
      </c>
      <c r="Q26" s="240"/>
      <c r="R26" s="144" t="s">
        <v>412</v>
      </c>
      <c r="S26" s="120">
        <v>2</v>
      </c>
      <c r="Y26" s="148" t="s">
        <v>341</v>
      </c>
      <c r="Z26" s="248">
        <f>(B4*(I3*1000)^2)/(B3*10^6)</f>
        <v>0.4733459869848156</v>
      </c>
      <c r="AA26" s="248"/>
      <c r="AB26" s="251" t="s">
        <v>359</v>
      </c>
      <c r="AC26" s="251"/>
      <c r="AD26" s="141"/>
      <c r="AE26" s="253" t="s">
        <v>336</v>
      </c>
      <c r="AF26" s="281">
        <v>0.95</v>
      </c>
      <c r="AG26" s="253" t="s">
        <v>133</v>
      </c>
      <c r="AH26" s="282" t="s">
        <v>343</v>
      </c>
      <c r="AI26" s="282"/>
      <c r="AJ26" s="282"/>
      <c r="AK26" s="282"/>
      <c r="AL26" s="282"/>
      <c r="AM26" s="159"/>
      <c r="AN26" s="159"/>
      <c r="AO26" s="161"/>
      <c r="AP26" s="49"/>
      <c r="AQ26" s="49"/>
      <c r="AR26" s="49"/>
      <c r="AS26" s="49"/>
      <c r="AT26" s="49"/>
      <c r="AZ26" s="141" t="s">
        <v>351</v>
      </c>
      <c r="BA26" s="248">
        <f>BA19</f>
        <v>0.009399451898914106</v>
      </c>
      <c r="BB26" s="248"/>
      <c r="BC26" s="252" t="s">
        <v>359</v>
      </c>
      <c r="BD26" s="252"/>
    </row>
    <row r="27" spans="1:56" ht="14.25" customHeight="1">
      <c r="A27" s="253"/>
      <c r="B27" s="257" t="s">
        <v>344</v>
      </c>
      <c r="C27" s="257"/>
      <c r="D27" s="257"/>
      <c r="E27" s="150"/>
      <c r="I27" s="253"/>
      <c r="J27" s="147"/>
      <c r="K27" s="257">
        <f>B3*10^3</f>
        <v>2766000</v>
      </c>
      <c r="L27" s="257"/>
      <c r="M27" s="257"/>
      <c r="N27" s="257"/>
      <c r="O27" s="257"/>
      <c r="P27" s="257"/>
      <c r="Q27" s="257"/>
      <c r="R27" s="257"/>
      <c r="S27" s="150"/>
      <c r="Y27" s="161" t="s">
        <v>345</v>
      </c>
      <c r="Z27" s="248">
        <f>0.995*Z26</f>
        <v>0.4709792570498915</v>
      </c>
      <c r="AA27" s="248"/>
      <c r="AB27" s="251" t="s">
        <v>359</v>
      </c>
      <c r="AC27" s="251"/>
      <c r="AD27" s="141"/>
      <c r="AE27" s="253"/>
      <c r="AF27" s="281"/>
      <c r="AG27" s="253"/>
      <c r="AH27" s="143">
        <v>1</v>
      </c>
      <c r="AI27" s="143" t="s">
        <v>133</v>
      </c>
      <c r="AJ27" s="261" t="s">
        <v>415</v>
      </c>
      <c r="AK27" s="261"/>
      <c r="AL27" s="261"/>
      <c r="AM27" s="159"/>
      <c r="AN27" s="162"/>
      <c r="AZ27" s="141" t="s">
        <v>416</v>
      </c>
      <c r="BA27" s="248">
        <f>BA18</f>
        <v>0.001952</v>
      </c>
      <c r="BB27" s="248"/>
      <c r="BC27" s="252" t="s">
        <v>359</v>
      </c>
      <c r="BD27" s="252"/>
    </row>
    <row r="28" spans="1:30" ht="13.5">
      <c r="A28" s="161" t="s">
        <v>345</v>
      </c>
      <c r="B28" s="139" t="s">
        <v>346</v>
      </c>
      <c r="C28" s="65" t="s">
        <v>10</v>
      </c>
      <c r="D28" s="160">
        <v>0.995</v>
      </c>
      <c r="E28" s="160"/>
      <c r="I28" s="161" t="s">
        <v>345</v>
      </c>
      <c r="J28" s="161"/>
      <c r="K28" s="139">
        <f>Z26</f>
        <v>0.4733459869848156</v>
      </c>
      <c r="L28" s="114" t="s">
        <v>10</v>
      </c>
      <c r="M28" s="65"/>
      <c r="N28" s="160">
        <v>0.995</v>
      </c>
      <c r="O28" s="160"/>
      <c r="P28" s="160"/>
      <c r="Q28" s="160"/>
      <c r="R28" s="160"/>
      <c r="S28" s="160"/>
      <c r="Y28" s="161" t="s">
        <v>347</v>
      </c>
      <c r="Z28" s="248">
        <f>0.1*Z27</f>
        <v>0.047097925704989156</v>
      </c>
      <c r="AA28" s="248"/>
      <c r="AB28" s="251" t="s">
        <v>359</v>
      </c>
      <c r="AC28" s="251"/>
      <c r="AD28" s="141"/>
    </row>
    <row r="29" spans="1:39" ht="13.5">
      <c r="A29" s="161" t="s">
        <v>347</v>
      </c>
      <c r="B29" s="139" t="s">
        <v>348</v>
      </c>
      <c r="C29" s="65" t="s">
        <v>10</v>
      </c>
      <c r="D29" s="139">
        <v>0.1</v>
      </c>
      <c r="E29" s="139"/>
      <c r="I29" s="161" t="s">
        <v>347</v>
      </c>
      <c r="J29" s="161"/>
      <c r="K29" s="139">
        <f>Z27</f>
        <v>0.4709792570498915</v>
      </c>
      <c r="L29" s="114" t="s">
        <v>10</v>
      </c>
      <c r="M29" s="65"/>
      <c r="N29" s="139">
        <v>0.1</v>
      </c>
      <c r="O29" s="139"/>
      <c r="P29" s="139"/>
      <c r="Q29" s="139"/>
      <c r="R29" s="139"/>
      <c r="S29" s="139"/>
      <c r="AE29" s="251" t="s">
        <v>420</v>
      </c>
      <c r="AF29" s="251"/>
      <c r="AG29" s="251"/>
      <c r="AH29" s="251"/>
      <c r="AI29" s="251"/>
      <c r="AJ29" s="251"/>
      <c r="AK29" s="251"/>
      <c r="AL29" s="251"/>
      <c r="AM29" s="141"/>
    </row>
    <row r="30" spans="1:40" ht="12" customHeight="1">
      <c r="A30" s="270" t="s">
        <v>357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E30" s="68" t="s">
        <v>418</v>
      </c>
      <c r="AF30" s="254">
        <f>(T21/I2)^2</f>
        <v>6.7465002529937596E-06</v>
      </c>
      <c r="AG30" s="254"/>
      <c r="AH30" s="254"/>
      <c r="AI30" s="254"/>
      <c r="AJ30" s="49"/>
      <c r="AK30" s="49"/>
      <c r="AL30" s="49"/>
      <c r="AM30" s="49"/>
      <c r="AN30" s="49"/>
    </row>
    <row r="31" spans="1:57" ht="16.5" customHeight="1">
      <c r="A31" s="262" t="s">
        <v>324</v>
      </c>
      <c r="B31" s="139" t="s">
        <v>297</v>
      </c>
      <c r="C31" s="65" t="s">
        <v>10</v>
      </c>
      <c r="D31" s="139" t="s">
        <v>325</v>
      </c>
      <c r="E31" s="139"/>
      <c r="I31" s="262" t="s">
        <v>324</v>
      </c>
      <c r="J31" s="148"/>
      <c r="K31" s="139">
        <f>I6</f>
        <v>11.9</v>
      </c>
      <c r="L31" s="114" t="s">
        <v>10</v>
      </c>
      <c r="M31" s="77" t="s">
        <v>410</v>
      </c>
      <c r="N31" s="144">
        <f>I3</f>
        <v>34.5</v>
      </c>
      <c r="O31" s="77" t="s">
        <v>10</v>
      </c>
      <c r="P31" s="240" t="s">
        <v>411</v>
      </c>
      <c r="Q31" s="240"/>
      <c r="R31" s="144" t="s">
        <v>412</v>
      </c>
      <c r="S31" s="120">
        <v>2</v>
      </c>
      <c r="Y31" s="68" t="s">
        <v>349</v>
      </c>
      <c r="Z31" s="248">
        <f>((I6/100)*(I3*10^3)^2)/(I4*10^6)</f>
        <v>1.4163975</v>
      </c>
      <c r="AA31" s="248"/>
      <c r="AB31" s="251" t="s">
        <v>359</v>
      </c>
      <c r="AC31" s="251"/>
      <c r="AE31" s="45" t="s">
        <v>419</v>
      </c>
      <c r="AF31" s="248">
        <f>(T21/T20)^2</f>
        <v>0.00013442554085276202</v>
      </c>
      <c r="AG31" s="248"/>
      <c r="AH31" s="248"/>
      <c r="AI31" s="248"/>
      <c r="AT31" s="248">
        <f>I5*((I3*1000)^2/(I4*10^6)^2)</f>
        <v>1.19025E-05</v>
      </c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</row>
    <row r="32" spans="1:30" ht="13.5">
      <c r="A32" s="262"/>
      <c r="B32" s="146">
        <v>100</v>
      </c>
      <c r="C32" s="76" t="s">
        <v>10</v>
      </c>
      <c r="D32" s="146" t="s">
        <v>327</v>
      </c>
      <c r="E32" s="150"/>
      <c r="I32" s="262"/>
      <c r="J32" s="123"/>
      <c r="K32" s="257">
        <v>100</v>
      </c>
      <c r="L32" s="257"/>
      <c r="M32" s="76" t="s">
        <v>10</v>
      </c>
      <c r="N32" s="257">
        <f>I4*10^3</f>
        <v>100000</v>
      </c>
      <c r="O32" s="257"/>
      <c r="P32" s="257"/>
      <c r="Q32" s="257"/>
      <c r="R32" s="150"/>
      <c r="S32" s="150"/>
      <c r="Y32" s="68" t="s">
        <v>350</v>
      </c>
      <c r="Z32" s="279">
        <f>I5*1000*((I3*1000)^2/(I4*10^6)^2)</f>
        <v>0.0119025</v>
      </c>
      <c r="AA32" s="279"/>
      <c r="AB32" s="251" t="s">
        <v>359</v>
      </c>
      <c r="AC32" s="251"/>
      <c r="AD32" s="141"/>
    </row>
    <row r="33" spans="1:59" ht="15.75" customHeight="1">
      <c r="A33" s="262" t="s">
        <v>331</v>
      </c>
      <c r="B33" s="139" t="s">
        <v>332</v>
      </c>
      <c r="C33" s="65" t="s">
        <v>10</v>
      </c>
      <c r="D33" s="139" t="s">
        <v>325</v>
      </c>
      <c r="E33" s="139"/>
      <c r="I33" s="262" t="s">
        <v>331</v>
      </c>
      <c r="J33" s="148"/>
      <c r="K33" s="139">
        <f>I7</f>
        <v>0.7</v>
      </c>
      <c r="L33" s="114" t="s">
        <v>10</v>
      </c>
      <c r="M33" s="77" t="s">
        <v>410</v>
      </c>
      <c r="N33" s="144">
        <f>I3</f>
        <v>34.5</v>
      </c>
      <c r="O33" s="77" t="s">
        <v>10</v>
      </c>
      <c r="P33" s="240" t="s">
        <v>411</v>
      </c>
      <c r="Q33" s="240"/>
      <c r="R33" s="144" t="s">
        <v>412</v>
      </c>
      <c r="S33" s="120">
        <v>2</v>
      </c>
      <c r="Y33" s="68" t="s">
        <v>329</v>
      </c>
      <c r="Z33" s="248">
        <f>SQRT(Z31^2-Z32^2)</f>
        <v>1.4163474886128757</v>
      </c>
      <c r="AA33" s="248"/>
      <c r="AB33" s="251" t="s">
        <v>359</v>
      </c>
      <c r="AC33" s="251"/>
      <c r="AD33" s="141"/>
      <c r="AE33" s="258" t="s">
        <v>417</v>
      </c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</row>
    <row r="34" spans="1:59" ht="13.5">
      <c r="A34" s="262"/>
      <c r="B34" s="146">
        <v>100</v>
      </c>
      <c r="C34" s="76" t="s">
        <v>10</v>
      </c>
      <c r="D34" s="146" t="s">
        <v>327</v>
      </c>
      <c r="E34" s="150"/>
      <c r="I34" s="262"/>
      <c r="J34" s="123"/>
      <c r="K34" s="257">
        <v>100</v>
      </c>
      <c r="L34" s="257"/>
      <c r="M34" s="76" t="s">
        <v>10</v>
      </c>
      <c r="N34" s="257">
        <f>N32</f>
        <v>100000</v>
      </c>
      <c r="O34" s="257"/>
      <c r="P34" s="257"/>
      <c r="Q34" s="257"/>
      <c r="R34" s="150"/>
      <c r="S34" s="150"/>
      <c r="AB34" s="141"/>
      <c r="AC34" s="141"/>
      <c r="AD34" s="141"/>
      <c r="AE34" s="283" t="s">
        <v>431</v>
      </c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46" t="s">
        <v>432</v>
      </c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</row>
    <row r="35" spans="1:59" ht="15" customHeight="1">
      <c r="A35" s="262" t="s">
        <v>331</v>
      </c>
      <c r="B35" s="144" t="s">
        <v>413</v>
      </c>
      <c r="C35" s="66" t="s">
        <v>10</v>
      </c>
      <c r="D35" s="144" t="s">
        <v>325</v>
      </c>
      <c r="E35" s="139"/>
      <c r="I35" s="262" t="s">
        <v>331</v>
      </c>
      <c r="J35" s="148"/>
      <c r="K35" s="144">
        <f>I5*10^3</f>
        <v>100000</v>
      </c>
      <c r="L35" s="77" t="s">
        <v>10</v>
      </c>
      <c r="M35" s="241">
        <f>I3</f>
        <v>34.5</v>
      </c>
      <c r="N35" s="241"/>
      <c r="O35" s="114" t="s">
        <v>10</v>
      </c>
      <c r="P35" s="240" t="s">
        <v>411</v>
      </c>
      <c r="Q35" s="240"/>
      <c r="R35" s="144" t="s">
        <v>412</v>
      </c>
      <c r="S35" s="120">
        <v>2</v>
      </c>
      <c r="Y35" s="45" t="s">
        <v>351</v>
      </c>
      <c r="Z35" s="248">
        <f>0.95*Z33</f>
        <v>1.3455301141822318</v>
      </c>
      <c r="AA35" s="248"/>
      <c r="AB35" s="251" t="s">
        <v>359</v>
      </c>
      <c r="AC35" s="251"/>
      <c r="AD35" s="141"/>
      <c r="AE35" s="45" t="s">
        <v>71</v>
      </c>
      <c r="AF35" s="249">
        <f>Z27+Z33+Z40+Z45+Z50+BA2+BA7+BA12</f>
        <v>3.5499935456627676</v>
      </c>
      <c r="AG35" s="249"/>
      <c r="AH35" s="249"/>
      <c r="AI35" s="250" t="s">
        <v>425</v>
      </c>
      <c r="AJ35" s="251"/>
      <c r="AS35" s="243" t="s">
        <v>71</v>
      </c>
      <c r="AT35" s="244"/>
      <c r="AU35" s="241">
        <f>(AF30*Z27+AF31*(Z33+Z40+Z45+Z50+BA2+BA7+BA12)+BA24*10^6)</f>
        <v>9056.722835973997</v>
      </c>
      <c r="AV35" s="241"/>
      <c r="AW35" s="241"/>
      <c r="AX35" s="241"/>
      <c r="AY35" s="150"/>
      <c r="AZ35" s="48"/>
      <c r="BA35" s="48"/>
      <c r="BB35" s="48"/>
      <c r="BC35" s="48"/>
      <c r="BD35" s="48"/>
      <c r="BE35" s="48"/>
      <c r="BF35" s="48"/>
      <c r="BG35" s="48"/>
    </row>
    <row r="36" spans="1:59" ht="16.5" customHeight="1">
      <c r="A36" s="262"/>
      <c r="B36" s="257" t="s">
        <v>414</v>
      </c>
      <c r="C36" s="257"/>
      <c r="D36" s="257"/>
      <c r="E36" s="150"/>
      <c r="I36" s="262"/>
      <c r="J36" s="124" t="s">
        <v>410</v>
      </c>
      <c r="K36" s="146">
        <f>I4</f>
        <v>100</v>
      </c>
      <c r="L36" s="122" t="s">
        <v>10</v>
      </c>
      <c r="M36" s="67"/>
      <c r="N36" s="192" t="s">
        <v>489</v>
      </c>
      <c r="O36" s="146" t="s">
        <v>412</v>
      </c>
      <c r="P36" s="121">
        <v>2</v>
      </c>
      <c r="S36" s="150"/>
      <c r="Y36" s="45" t="s">
        <v>352</v>
      </c>
      <c r="Z36" s="248">
        <f>Z32</f>
        <v>0.0119025</v>
      </c>
      <c r="AA36" s="248"/>
      <c r="AB36" s="251" t="s">
        <v>359</v>
      </c>
      <c r="AC36" s="251"/>
      <c r="AD36" s="141"/>
      <c r="AE36" s="45" t="s">
        <v>70</v>
      </c>
      <c r="AF36" s="249">
        <f>Z28+Z32+Z41+Z46+Z51+BA3+BA8+BA13</f>
        <v>0.6800324257049892</v>
      </c>
      <c r="AG36" s="249"/>
      <c r="AH36" s="249"/>
      <c r="AI36" s="250" t="s">
        <v>425</v>
      </c>
      <c r="AJ36" s="251"/>
      <c r="AS36" s="243" t="s">
        <v>70</v>
      </c>
      <c r="AT36" s="244"/>
      <c r="AU36" s="241">
        <f>(AF30*Z28+AF31*(Z32+Z41+Z46+Z51+BA3+BA8+BA13)+BA25*10^6)</f>
        <v>1880.8248772939723</v>
      </c>
      <c r="AV36" s="241"/>
      <c r="AW36" s="241"/>
      <c r="AX36" s="241"/>
      <c r="AY36" s="150"/>
      <c r="AZ36" s="48"/>
      <c r="BA36" s="48"/>
      <c r="BB36" s="48"/>
      <c r="BC36" s="48"/>
      <c r="BD36" s="48"/>
      <c r="BE36" s="48"/>
      <c r="BF36" s="48"/>
      <c r="BG36" s="48"/>
    </row>
    <row r="37" spans="1:59" ht="12.75" customHeight="1">
      <c r="A37" s="139" t="s">
        <v>352</v>
      </c>
      <c r="B37" s="139" t="s">
        <v>353</v>
      </c>
      <c r="C37" s="139"/>
      <c r="D37" s="139"/>
      <c r="E37" s="139"/>
      <c r="I37" s="139" t="s">
        <v>352</v>
      </c>
      <c r="J37" s="139"/>
      <c r="K37" s="139">
        <f>Z32</f>
        <v>0.0119025</v>
      </c>
      <c r="L37" s="139"/>
      <c r="M37" s="139"/>
      <c r="N37" s="139"/>
      <c r="O37" s="139"/>
      <c r="P37" s="139"/>
      <c r="Q37" s="139"/>
      <c r="R37" s="139"/>
      <c r="S37" s="139"/>
      <c r="AE37" s="45" t="s">
        <v>132</v>
      </c>
      <c r="AF37" s="249">
        <f>SQRT(AF35^2+AF36^2)</f>
        <v>3.6145398426711965</v>
      </c>
      <c r="AG37" s="249"/>
      <c r="AH37" s="249"/>
      <c r="AI37" s="250" t="s">
        <v>425</v>
      </c>
      <c r="AJ37" s="251"/>
      <c r="AS37" s="243" t="s">
        <v>132</v>
      </c>
      <c r="AT37" s="244"/>
      <c r="AU37" s="241">
        <f>SQRT(AU35^2+AU36^2)</f>
        <v>9249.958418647122</v>
      </c>
      <c r="AV37" s="241"/>
      <c r="AW37" s="241"/>
      <c r="AX37" s="241"/>
      <c r="AY37" s="150"/>
      <c r="AZ37" s="48"/>
      <c r="BA37" s="48"/>
      <c r="BB37" s="48"/>
      <c r="BC37" s="48"/>
      <c r="BD37" s="48"/>
      <c r="BE37" s="48"/>
      <c r="BF37" s="48"/>
      <c r="BG37" s="48"/>
    </row>
    <row r="38" spans="1:59" ht="13.5">
      <c r="A38" s="161" t="s">
        <v>351</v>
      </c>
      <c r="B38" s="139">
        <v>0.95</v>
      </c>
      <c r="C38" s="71" t="s">
        <v>10</v>
      </c>
      <c r="D38" s="139" t="s">
        <v>338</v>
      </c>
      <c r="E38" s="139"/>
      <c r="I38" s="161" t="s">
        <v>351</v>
      </c>
      <c r="J38" s="161"/>
      <c r="K38" s="139">
        <v>0.95</v>
      </c>
      <c r="L38" s="71" t="s">
        <v>10</v>
      </c>
      <c r="M38" s="71"/>
      <c r="N38" s="139">
        <f>Z33</f>
        <v>1.4163474886128757</v>
      </c>
      <c r="O38" s="139"/>
      <c r="P38" s="139"/>
      <c r="Q38" s="139"/>
      <c r="R38" s="139"/>
      <c r="S38" s="139"/>
      <c r="AS38" s="149"/>
      <c r="AT38" s="157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</row>
    <row r="39" spans="1:59" ht="15" customHeight="1">
      <c r="A39" s="280" t="s">
        <v>188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E39" s="253" t="s">
        <v>365</v>
      </c>
      <c r="AF39" s="144" t="s">
        <v>44</v>
      </c>
      <c r="AG39" s="77" t="s">
        <v>10</v>
      </c>
      <c r="AH39" s="144" t="s">
        <v>364</v>
      </c>
      <c r="AI39" s="253" t="s">
        <v>7</v>
      </c>
      <c r="AJ39" s="144">
        <f>B4</f>
        <v>1.1</v>
      </c>
      <c r="AK39" s="77" t="s">
        <v>10</v>
      </c>
      <c r="AL39" s="144">
        <f>I3</f>
        <v>34.5</v>
      </c>
      <c r="AM39" s="77" t="s">
        <v>10</v>
      </c>
      <c r="AN39" s="60" t="s">
        <v>411</v>
      </c>
      <c r="AS39" s="255" t="s">
        <v>365</v>
      </c>
      <c r="AT39" s="256"/>
      <c r="AU39" s="240" t="s">
        <v>44</v>
      </c>
      <c r="AV39" s="240"/>
      <c r="AW39" s="66" t="s">
        <v>10</v>
      </c>
      <c r="AX39" s="144" t="s">
        <v>364</v>
      </c>
      <c r="AY39" s="150"/>
      <c r="AZ39" s="239" t="s">
        <v>7</v>
      </c>
      <c r="BA39" s="60">
        <f>Y22</f>
        <v>1.05</v>
      </c>
      <c r="BB39" s="66" t="s">
        <v>10</v>
      </c>
      <c r="BC39" s="60">
        <f>T21</f>
        <v>0.4</v>
      </c>
      <c r="BD39" s="66" t="s">
        <v>10</v>
      </c>
      <c r="BE39" s="60" t="s">
        <v>411</v>
      </c>
      <c r="BF39" s="48"/>
      <c r="BG39" s="48"/>
    </row>
    <row r="40" spans="1:59" ht="13.5">
      <c r="A40" s="45" t="s">
        <v>285</v>
      </c>
      <c r="B40" s="139" t="s">
        <v>181</v>
      </c>
      <c r="C40" s="145" t="s">
        <v>10</v>
      </c>
      <c r="D40" s="139" t="s">
        <v>83</v>
      </c>
      <c r="E40" s="139"/>
      <c r="I40" s="45" t="s">
        <v>285</v>
      </c>
      <c r="K40" s="139">
        <f>S4</f>
        <v>0.3427</v>
      </c>
      <c r="L40" s="145" t="s">
        <v>10</v>
      </c>
      <c r="M40" s="145"/>
      <c r="N40" s="139">
        <f>S5/1000</f>
        <v>4.08</v>
      </c>
      <c r="O40" s="139"/>
      <c r="P40" s="139"/>
      <c r="Q40" s="139"/>
      <c r="R40" s="139"/>
      <c r="S40" s="139"/>
      <c r="Y40" s="45" t="s">
        <v>285</v>
      </c>
      <c r="Z40" s="249">
        <f>S4*(S5/10^3)</f>
        <v>1.3982160000000001</v>
      </c>
      <c r="AA40" s="249"/>
      <c r="AB40" s="252" t="s">
        <v>359</v>
      </c>
      <c r="AC40" s="252"/>
      <c r="AD40" s="142"/>
      <c r="AE40" s="253"/>
      <c r="AF40" s="139">
        <f>SQRT(3)</f>
        <v>1.7320508075688772</v>
      </c>
      <c r="AG40" s="114" t="s">
        <v>10</v>
      </c>
      <c r="AH40" s="139" t="s">
        <v>421</v>
      </c>
      <c r="AI40" s="253"/>
      <c r="AJ40" s="139">
        <f>AF40</f>
        <v>1.7320508075688772</v>
      </c>
      <c r="AK40" s="114" t="s">
        <v>10</v>
      </c>
      <c r="AL40" s="257">
        <f>AF37</f>
        <v>3.6145398426711965</v>
      </c>
      <c r="AM40" s="257"/>
      <c r="AS40" s="255"/>
      <c r="AT40" s="256"/>
      <c r="AU40" s="241">
        <f>AF40</f>
        <v>1.7320508075688772</v>
      </c>
      <c r="AV40" s="241"/>
      <c r="AW40" s="145" t="s">
        <v>10</v>
      </c>
      <c r="AX40" s="150" t="s">
        <v>421</v>
      </c>
      <c r="AY40" s="150"/>
      <c r="AZ40" s="239"/>
      <c r="BA40" s="48">
        <f>AU40</f>
        <v>1.7320508075688772</v>
      </c>
      <c r="BB40" s="65" t="s">
        <v>10</v>
      </c>
      <c r="BC40" s="257">
        <f>AU37*10^(-6)</f>
        <v>0.009249958418647121</v>
      </c>
      <c r="BD40" s="257"/>
      <c r="BE40" s="257"/>
      <c r="BF40" s="48"/>
      <c r="BG40" s="48"/>
    </row>
    <row r="41" spans="1:59" ht="15" customHeight="1">
      <c r="A41" s="45" t="s">
        <v>279</v>
      </c>
      <c r="B41" s="139" t="s">
        <v>182</v>
      </c>
      <c r="C41" s="145" t="s">
        <v>10</v>
      </c>
      <c r="D41" s="139" t="s">
        <v>83</v>
      </c>
      <c r="E41" s="139"/>
      <c r="I41" s="45" t="s">
        <v>279</v>
      </c>
      <c r="K41" s="139">
        <f>S3</f>
        <v>0.1194</v>
      </c>
      <c r="L41" s="145" t="s">
        <v>10</v>
      </c>
      <c r="M41" s="145"/>
      <c r="N41" s="139">
        <f>N40</f>
        <v>4.08</v>
      </c>
      <c r="O41" s="139"/>
      <c r="P41" s="139"/>
      <c r="Q41" s="139"/>
      <c r="R41" s="139"/>
      <c r="S41" s="139"/>
      <c r="Y41" s="45" t="s">
        <v>279</v>
      </c>
      <c r="Z41" s="248">
        <f>S3*(S5/10^3)</f>
        <v>0.48715200000000003</v>
      </c>
      <c r="AA41" s="248"/>
      <c r="AB41" s="252" t="s">
        <v>359</v>
      </c>
      <c r="AC41" s="252"/>
      <c r="AD41" s="142"/>
      <c r="AG41" s="48"/>
      <c r="AS41" s="236" t="s">
        <v>490</v>
      </c>
      <c r="AT41" s="237"/>
      <c r="AU41" s="245">
        <f>(BA39*BC39*1000)/(BA40*BC40)/1000</f>
        <v>26.21494087701083</v>
      </c>
      <c r="AV41" s="245"/>
      <c r="AW41" s="245"/>
      <c r="AX41" s="245"/>
      <c r="AY41" s="237" t="s">
        <v>367</v>
      </c>
      <c r="AZ41" s="237"/>
      <c r="BA41" s="48"/>
      <c r="BB41" s="48"/>
      <c r="BC41" s="48"/>
      <c r="BD41" s="48"/>
      <c r="BE41" s="48"/>
      <c r="BF41" s="48"/>
      <c r="BG41" s="48"/>
    </row>
    <row r="42" spans="1:59" ht="15">
      <c r="A42" s="45" t="s">
        <v>288</v>
      </c>
      <c r="B42" s="139">
        <v>3</v>
      </c>
      <c r="C42" s="145" t="s">
        <v>10</v>
      </c>
      <c r="D42" s="139" t="s">
        <v>294</v>
      </c>
      <c r="E42" s="139"/>
      <c r="I42" s="45" t="s">
        <v>288</v>
      </c>
      <c r="K42" s="139">
        <v>3</v>
      </c>
      <c r="L42" s="145" t="s">
        <v>10</v>
      </c>
      <c r="M42" s="145"/>
      <c r="N42" s="140">
        <f>Z40</f>
        <v>1.3982160000000001</v>
      </c>
      <c r="O42" s="140"/>
      <c r="P42" s="140"/>
      <c r="Q42" s="140"/>
      <c r="R42" s="140"/>
      <c r="S42" s="140"/>
      <c r="Y42" s="45" t="s">
        <v>288</v>
      </c>
      <c r="Z42" s="248">
        <f>Z40*3</f>
        <v>4.194648000000001</v>
      </c>
      <c r="AA42" s="248"/>
      <c r="AB42" s="252" t="s">
        <v>359</v>
      </c>
      <c r="AC42" s="252"/>
      <c r="AD42" s="142"/>
      <c r="AE42" s="194" t="s">
        <v>490</v>
      </c>
      <c r="AF42" s="238">
        <f>(AJ39*AL39*1000)/(AJ40*AL40)/1000</f>
        <v>6.061751611390226</v>
      </c>
      <c r="AG42" s="238"/>
      <c r="AH42" s="238"/>
      <c r="AI42" s="242" t="s">
        <v>367</v>
      </c>
      <c r="AJ42" s="242"/>
      <c r="AS42" s="243" t="s">
        <v>433</v>
      </c>
      <c r="AT42" s="244"/>
      <c r="AU42" s="241">
        <v>1.02</v>
      </c>
      <c r="AV42" s="241"/>
      <c r="AW42" s="139" t="s">
        <v>133</v>
      </c>
      <c r="AX42" s="248" t="s">
        <v>355</v>
      </c>
      <c r="AY42" s="248"/>
      <c r="AZ42" s="248"/>
      <c r="BA42" s="48"/>
      <c r="BB42" s="48"/>
      <c r="BC42" s="144" t="s">
        <v>58</v>
      </c>
      <c r="BD42" s="239" t="s">
        <v>7</v>
      </c>
      <c r="BE42" s="240">
        <f>AU36</f>
        <v>1880.8248772939723</v>
      </c>
      <c r="BF42" s="240"/>
      <c r="BG42" s="240"/>
    </row>
    <row r="43" spans="1:59" ht="13.5">
      <c r="A43" s="45" t="s">
        <v>282</v>
      </c>
      <c r="B43" s="139">
        <v>2</v>
      </c>
      <c r="C43" s="145" t="s">
        <v>10</v>
      </c>
      <c r="D43" s="139" t="s">
        <v>356</v>
      </c>
      <c r="E43" s="139"/>
      <c r="I43" s="45" t="s">
        <v>282</v>
      </c>
      <c r="K43" s="139">
        <v>2</v>
      </c>
      <c r="L43" s="145" t="s">
        <v>10</v>
      </c>
      <c r="M43" s="145"/>
      <c r="N43" s="139">
        <f>Z41</f>
        <v>0.48715200000000003</v>
      </c>
      <c r="O43" s="139"/>
      <c r="P43" s="139"/>
      <c r="Q43" s="139"/>
      <c r="R43" s="139"/>
      <c r="S43" s="139"/>
      <c r="Y43" s="45" t="s">
        <v>282</v>
      </c>
      <c r="Z43" s="248">
        <f>Z41*2</f>
        <v>0.9743040000000001</v>
      </c>
      <c r="AA43" s="248"/>
      <c r="AB43" s="252" t="s">
        <v>359</v>
      </c>
      <c r="AC43" s="252"/>
      <c r="AD43" s="142"/>
      <c r="AE43" s="68"/>
      <c r="AS43" s="243" t="s">
        <v>433</v>
      </c>
      <c r="AT43" s="244"/>
      <c r="AU43" s="248">
        <f>1.02+(0.9*EXP(-3*BE42/BE43))</f>
        <v>1.5026924557013477</v>
      </c>
      <c r="AV43" s="248"/>
      <c r="AW43" s="248"/>
      <c r="AX43" s="248"/>
      <c r="AY43" s="248"/>
      <c r="AZ43" s="248"/>
      <c r="BA43" s="48"/>
      <c r="BB43" s="48"/>
      <c r="BC43" s="150" t="s">
        <v>59</v>
      </c>
      <c r="BD43" s="239"/>
      <c r="BE43" s="241">
        <f>AU35</f>
        <v>9056.722835973997</v>
      </c>
      <c r="BF43" s="241"/>
      <c r="BG43" s="241"/>
    </row>
    <row r="44" spans="28:59" ht="15">
      <c r="AB44" s="141"/>
      <c r="AC44" s="141"/>
      <c r="AD44" s="141"/>
      <c r="AE44" s="125" t="s">
        <v>354</v>
      </c>
      <c r="AF44" s="56">
        <v>1.02</v>
      </c>
      <c r="AG44" s="139" t="s">
        <v>133</v>
      </c>
      <c r="AH44" s="248" t="s">
        <v>355</v>
      </c>
      <c r="AI44" s="248"/>
      <c r="AL44" s="144" t="s">
        <v>58</v>
      </c>
      <c r="AM44" s="253" t="s">
        <v>7</v>
      </c>
      <c r="AN44" s="240">
        <f>AF36</f>
        <v>0.6800324257049892</v>
      </c>
      <c r="AO44" s="240"/>
      <c r="AS44" s="243" t="s">
        <v>422</v>
      </c>
      <c r="AT44" s="244"/>
      <c r="AU44" s="241">
        <v>1.4142135623730951</v>
      </c>
      <c r="AV44" s="241"/>
      <c r="AW44" s="71" t="s">
        <v>10</v>
      </c>
      <c r="AX44" s="71" t="s">
        <v>377</v>
      </c>
      <c r="AY44" s="71" t="s">
        <v>10</v>
      </c>
      <c r="AZ44" s="139" t="s">
        <v>423</v>
      </c>
      <c r="BA44" s="48"/>
      <c r="BB44" s="48"/>
      <c r="BC44" s="48"/>
      <c r="BD44" s="48"/>
      <c r="BE44" s="48"/>
      <c r="BF44" s="48"/>
      <c r="BG44" s="48"/>
    </row>
    <row r="45" spans="1:59" ht="13.5">
      <c r="A45" s="45" t="s">
        <v>285</v>
      </c>
      <c r="B45" s="139" t="s">
        <v>183</v>
      </c>
      <c r="C45" s="145" t="s">
        <v>10</v>
      </c>
      <c r="D45" s="139" t="s">
        <v>83</v>
      </c>
      <c r="E45" s="139"/>
      <c r="I45" s="45" t="s">
        <v>285</v>
      </c>
      <c r="K45" s="139">
        <f>B11</f>
        <v>0.3427</v>
      </c>
      <c r="L45" s="145" t="s">
        <v>10</v>
      </c>
      <c r="M45" s="145"/>
      <c r="N45" s="139">
        <f>B12/1000</f>
        <v>0</v>
      </c>
      <c r="O45" s="139"/>
      <c r="P45" s="139"/>
      <c r="Q45" s="139"/>
      <c r="R45" s="139"/>
      <c r="S45" s="139"/>
      <c r="Y45" s="45" t="s">
        <v>285</v>
      </c>
      <c r="Z45" s="248">
        <f>B11*(B12/10^3)</f>
        <v>0</v>
      </c>
      <c r="AA45" s="248"/>
      <c r="AB45" s="252" t="s">
        <v>359</v>
      </c>
      <c r="AC45" s="252"/>
      <c r="AD45" s="142"/>
      <c r="AE45" s="125" t="s">
        <v>354</v>
      </c>
      <c r="AF45" s="248">
        <f>1.02+(0.9*EXP(-3*AN44/AN45))</f>
        <v>1.526598323965418</v>
      </c>
      <c r="AG45" s="248"/>
      <c r="AH45" s="248"/>
      <c r="AI45" s="248"/>
      <c r="AL45" s="139" t="s">
        <v>59</v>
      </c>
      <c r="AM45" s="253"/>
      <c r="AN45" s="249">
        <f>AF35</f>
        <v>3.5499935456627676</v>
      </c>
      <c r="AO45" s="249"/>
      <c r="AS45" s="243" t="s">
        <v>422</v>
      </c>
      <c r="AT45" s="244"/>
      <c r="AU45" s="241">
        <v>1.4142135623730951</v>
      </c>
      <c r="AV45" s="241"/>
      <c r="AW45" s="71" t="s">
        <v>10</v>
      </c>
      <c r="AX45" s="139">
        <f>AU43</f>
        <v>1.5026924557013477</v>
      </c>
      <c r="AY45" s="71" t="s">
        <v>10</v>
      </c>
      <c r="AZ45" s="139">
        <f>AU41</f>
        <v>26.21494087701083</v>
      </c>
      <c r="BA45" s="48"/>
      <c r="BB45" s="48"/>
      <c r="BC45" s="48"/>
      <c r="BD45" s="48"/>
      <c r="BE45" s="48"/>
      <c r="BF45" s="48"/>
      <c r="BG45" s="48"/>
    </row>
    <row r="46" spans="1:59" ht="13.5">
      <c r="A46" s="45" t="s">
        <v>279</v>
      </c>
      <c r="B46" s="139" t="s">
        <v>184</v>
      </c>
      <c r="C46" s="145" t="s">
        <v>10</v>
      </c>
      <c r="D46" s="139" t="s">
        <v>83</v>
      </c>
      <c r="E46" s="139"/>
      <c r="I46" s="45" t="s">
        <v>279</v>
      </c>
      <c r="K46" s="139">
        <f>B10</f>
        <v>0.1194</v>
      </c>
      <c r="L46" s="145" t="s">
        <v>10</v>
      </c>
      <c r="M46" s="145"/>
      <c r="N46" s="139">
        <f>N45</f>
        <v>0</v>
      </c>
      <c r="O46" s="139"/>
      <c r="P46" s="139"/>
      <c r="Q46" s="139"/>
      <c r="R46" s="139"/>
      <c r="S46" s="139"/>
      <c r="Y46" s="45" t="s">
        <v>279</v>
      </c>
      <c r="Z46" s="248">
        <f>B10*(B12/10^3)</f>
        <v>0</v>
      </c>
      <c r="AA46" s="248"/>
      <c r="AB46" s="252" t="s">
        <v>359</v>
      </c>
      <c r="AC46" s="252"/>
      <c r="AD46" s="142"/>
      <c r="AS46" s="236" t="s">
        <v>491</v>
      </c>
      <c r="AT46" s="237"/>
      <c r="AU46" s="245">
        <f>AU45*AX45*AZ45</f>
        <v>55.710106211169915</v>
      </c>
      <c r="AV46" s="245"/>
      <c r="AW46" s="245"/>
      <c r="AX46" s="245"/>
      <c r="AY46" s="245"/>
      <c r="AZ46" s="196" t="s">
        <v>367</v>
      </c>
      <c r="BA46" s="48"/>
      <c r="BB46" s="48"/>
      <c r="BC46" s="48"/>
      <c r="BD46" s="48"/>
      <c r="BE46" s="48"/>
      <c r="BF46" s="48"/>
      <c r="BG46" s="48"/>
    </row>
    <row r="47" spans="1:59" ht="15">
      <c r="A47" s="45" t="s">
        <v>288</v>
      </c>
      <c r="B47" s="139">
        <v>3</v>
      </c>
      <c r="C47" s="145" t="s">
        <v>10</v>
      </c>
      <c r="D47" s="139" t="s">
        <v>294</v>
      </c>
      <c r="E47" s="139"/>
      <c r="I47" s="45" t="s">
        <v>288</v>
      </c>
      <c r="K47" s="139">
        <v>3</v>
      </c>
      <c r="L47" s="145" t="s">
        <v>10</v>
      </c>
      <c r="M47" s="145"/>
      <c r="N47" s="139">
        <f>Z45</f>
        <v>0</v>
      </c>
      <c r="O47" s="139"/>
      <c r="P47" s="139"/>
      <c r="Q47" s="139"/>
      <c r="R47" s="139"/>
      <c r="S47" s="139"/>
      <c r="Y47" s="45" t="s">
        <v>288</v>
      </c>
      <c r="Z47" s="248">
        <f>3*Z45</f>
        <v>0</v>
      </c>
      <c r="AA47" s="248"/>
      <c r="AB47" s="252" t="s">
        <v>359</v>
      </c>
      <c r="AC47" s="252"/>
      <c r="AD47" s="142"/>
      <c r="AE47" s="45" t="s">
        <v>422</v>
      </c>
      <c r="AF47" s="139">
        <f>SQRT(2)</f>
        <v>1.4142135623730951</v>
      </c>
      <c r="AG47" s="145" t="s">
        <v>10</v>
      </c>
      <c r="AH47" s="71" t="s">
        <v>377</v>
      </c>
      <c r="AI47" s="145" t="s">
        <v>10</v>
      </c>
      <c r="AJ47" s="143" t="s">
        <v>423</v>
      </c>
      <c r="AS47" s="243" t="s">
        <v>434</v>
      </c>
      <c r="AT47" s="244"/>
      <c r="AU47" s="241" t="s">
        <v>423</v>
      </c>
      <c r="AV47" s="241"/>
      <c r="AW47" s="71" t="s">
        <v>10</v>
      </c>
      <c r="AX47" s="241" t="s">
        <v>424</v>
      </c>
      <c r="AY47" s="241"/>
      <c r="AZ47" s="241"/>
      <c r="BA47" s="48"/>
      <c r="BB47" s="48"/>
      <c r="BC47" s="48"/>
      <c r="BD47" s="48"/>
      <c r="BE47" s="48"/>
      <c r="BF47" s="48"/>
      <c r="BG47" s="48"/>
    </row>
    <row r="48" spans="1:59" ht="13.5">
      <c r="A48" s="45" t="s">
        <v>282</v>
      </c>
      <c r="B48" s="139">
        <v>2</v>
      </c>
      <c r="C48" s="145" t="s">
        <v>10</v>
      </c>
      <c r="D48" s="139" t="s">
        <v>356</v>
      </c>
      <c r="E48" s="139"/>
      <c r="I48" s="45" t="s">
        <v>282</v>
      </c>
      <c r="K48" s="139">
        <v>2</v>
      </c>
      <c r="L48" s="145" t="s">
        <v>10</v>
      </c>
      <c r="M48" s="145"/>
      <c r="N48" s="139">
        <f>Z46</f>
        <v>0</v>
      </c>
      <c r="O48" s="139"/>
      <c r="P48" s="139"/>
      <c r="Q48" s="139"/>
      <c r="R48" s="139"/>
      <c r="S48" s="139"/>
      <c r="Y48" s="45" t="s">
        <v>282</v>
      </c>
      <c r="Z48" s="248">
        <f>2*Z46</f>
        <v>0</v>
      </c>
      <c r="AA48" s="248"/>
      <c r="AB48" s="252" t="s">
        <v>359</v>
      </c>
      <c r="AC48" s="252"/>
      <c r="AD48" s="142"/>
      <c r="AE48" s="45" t="s">
        <v>422</v>
      </c>
      <c r="AF48" s="139">
        <f>AF47</f>
        <v>1.4142135623730951</v>
      </c>
      <c r="AG48" s="145" t="s">
        <v>10</v>
      </c>
      <c r="AH48" s="139">
        <f>AF45</f>
        <v>1.526598323965418</v>
      </c>
      <c r="AI48" s="145" t="s">
        <v>10</v>
      </c>
      <c r="AJ48" s="139">
        <f>AF42</f>
        <v>6.061751611390226</v>
      </c>
      <c r="AS48" s="236" t="s">
        <v>492</v>
      </c>
      <c r="AT48" s="237"/>
      <c r="AU48" s="245">
        <f>AU41*SQRT(0.03+1)</f>
        <v>26.605259234608642</v>
      </c>
      <c r="AV48" s="245"/>
      <c r="AW48" s="245"/>
      <c r="AX48" s="245"/>
      <c r="AY48" s="237" t="s">
        <v>367</v>
      </c>
      <c r="AZ48" s="237"/>
      <c r="BA48" s="48"/>
      <c r="BB48" s="48"/>
      <c r="BC48" s="48"/>
      <c r="BD48" s="48"/>
      <c r="BE48" s="48"/>
      <c r="BF48" s="48"/>
      <c r="BG48" s="48"/>
    </row>
    <row r="49" spans="28:59" ht="13.5">
      <c r="AB49" s="141"/>
      <c r="AC49" s="141"/>
      <c r="AD49" s="141"/>
      <c r="AE49" s="195" t="s">
        <v>491</v>
      </c>
      <c r="AF49" s="238">
        <f>AF48*AH48*AJ48</f>
        <v>13.086934104513498</v>
      </c>
      <c r="AG49" s="238"/>
      <c r="AH49" s="238"/>
      <c r="AI49" s="242" t="s">
        <v>367</v>
      </c>
      <c r="AJ49" s="242"/>
      <c r="AS49" s="246" t="s">
        <v>435</v>
      </c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7"/>
      <c r="BE49" s="247"/>
      <c r="BF49" s="247"/>
      <c r="BG49" s="247"/>
    </row>
    <row r="50" spans="1:57" ht="15">
      <c r="A50" s="45" t="s">
        <v>285</v>
      </c>
      <c r="B50" s="139" t="s">
        <v>185</v>
      </c>
      <c r="C50" s="145" t="s">
        <v>10</v>
      </c>
      <c r="D50" s="139" t="s">
        <v>83</v>
      </c>
      <c r="E50" s="139"/>
      <c r="I50" s="45" t="s">
        <v>285</v>
      </c>
      <c r="K50" s="139">
        <f>S11</f>
        <v>0.4644</v>
      </c>
      <c r="L50" s="145" t="s">
        <v>10</v>
      </c>
      <c r="M50" s="145"/>
      <c r="N50" s="139">
        <f>S12/1000</f>
        <v>0</v>
      </c>
      <c r="O50" s="139"/>
      <c r="P50" s="139"/>
      <c r="Q50" s="139"/>
      <c r="R50" s="139"/>
      <c r="S50" s="139"/>
      <c r="Y50" s="45" t="s">
        <v>285</v>
      </c>
      <c r="Z50" s="248">
        <f>S11*(S12/10^3)</f>
        <v>0</v>
      </c>
      <c r="AA50" s="248"/>
      <c r="AB50" s="252" t="s">
        <v>359</v>
      </c>
      <c r="AC50" s="252"/>
      <c r="AD50" s="142"/>
      <c r="AS50" s="243" t="s">
        <v>71</v>
      </c>
      <c r="AT50" s="244"/>
      <c r="AU50" s="248">
        <f>2*AF30*Z27+2*AF31*(Z33+Z40+Z45+Z50+BA2+BA7+BA12)+2*BA24*10^6+AF31*(Z35+Z42+Z47+Z52+BA4+BA9+BA14)+BA26*10^6</f>
        <v>27512.898483150406</v>
      </c>
      <c r="AV50" s="248"/>
      <c r="AW50" s="248"/>
      <c r="AX50" s="248"/>
      <c r="BA50"/>
      <c r="BB50"/>
      <c r="BC50"/>
      <c r="BD50"/>
      <c r="BE50"/>
    </row>
    <row r="51" spans="1:57" ht="15">
      <c r="A51" s="45" t="s">
        <v>279</v>
      </c>
      <c r="B51" s="139" t="s">
        <v>186</v>
      </c>
      <c r="C51" s="145" t="s">
        <v>10</v>
      </c>
      <c r="D51" s="139" t="s">
        <v>83</v>
      </c>
      <c r="E51" s="139"/>
      <c r="I51" s="45" t="s">
        <v>279</v>
      </c>
      <c r="K51" s="139">
        <f>S10</f>
        <v>1.0742</v>
      </c>
      <c r="L51" s="145" t="s">
        <v>10</v>
      </c>
      <c r="M51" s="145"/>
      <c r="N51" s="139">
        <f>N50</f>
        <v>0</v>
      </c>
      <c r="O51" s="139"/>
      <c r="P51" s="139"/>
      <c r="Q51" s="139"/>
      <c r="R51" s="139"/>
      <c r="S51" s="139"/>
      <c r="Y51" s="45" t="s">
        <v>279</v>
      </c>
      <c r="Z51" s="248">
        <f>S10*(S12/10^3)</f>
        <v>0</v>
      </c>
      <c r="AA51" s="248"/>
      <c r="AB51" s="252" t="s">
        <v>359</v>
      </c>
      <c r="AC51" s="252"/>
      <c r="AD51" s="142"/>
      <c r="AE51" s="45" t="s">
        <v>434</v>
      </c>
      <c r="AF51" s="139" t="s">
        <v>423</v>
      </c>
      <c r="AG51" s="71" t="s">
        <v>10</v>
      </c>
      <c r="AH51" s="248" t="s">
        <v>424</v>
      </c>
      <c r="AI51" s="248"/>
      <c r="AS51" s="243" t="s">
        <v>70</v>
      </c>
      <c r="AT51" s="244"/>
      <c r="AU51" s="248">
        <f>2*AF30*Z28+2*AF31*(Z32+Z41+Z46+Z51+BA3+BA8+BA13)+2*BA25*10^6+AF31*(Z36+Z43+Z48+Z53+BA5+BA10+BA15)+BA27*10^6</f>
        <v>5713.650001964075</v>
      </c>
      <c r="AV51" s="248"/>
      <c r="AW51" s="248"/>
      <c r="AX51" s="248"/>
      <c r="BA51"/>
      <c r="BB51"/>
      <c r="BC51"/>
      <c r="BD51"/>
      <c r="BE51"/>
    </row>
    <row r="52" spans="1:50" ht="13.5">
      <c r="A52" s="45" t="s">
        <v>288</v>
      </c>
      <c r="B52" s="139">
        <v>3</v>
      </c>
      <c r="C52" s="145" t="s">
        <v>10</v>
      </c>
      <c r="D52" s="139" t="s">
        <v>294</v>
      </c>
      <c r="E52" s="139"/>
      <c r="I52" s="45" t="s">
        <v>288</v>
      </c>
      <c r="K52" s="139">
        <v>3</v>
      </c>
      <c r="L52" s="145" t="s">
        <v>10</v>
      </c>
      <c r="M52" s="145"/>
      <c r="N52" s="139">
        <f>Z50</f>
        <v>0</v>
      </c>
      <c r="O52" s="139"/>
      <c r="P52" s="139"/>
      <c r="Q52" s="139"/>
      <c r="R52" s="139"/>
      <c r="S52" s="139"/>
      <c r="Y52" s="45" t="s">
        <v>288</v>
      </c>
      <c r="Z52" s="248">
        <f>3*Z50</f>
        <v>0</v>
      </c>
      <c r="AA52" s="248"/>
      <c r="AB52" s="252" t="s">
        <v>359</v>
      </c>
      <c r="AC52" s="252"/>
      <c r="AD52" s="142"/>
      <c r="AE52" s="195" t="s">
        <v>492</v>
      </c>
      <c r="AF52" s="238">
        <f>AF42*SQRT(0.03+1)</f>
        <v>6.152005979852243</v>
      </c>
      <c r="AG52" s="238"/>
      <c r="AH52" s="238"/>
      <c r="AI52" s="242" t="s">
        <v>367</v>
      </c>
      <c r="AJ52" s="242"/>
      <c r="AS52" s="243" t="s">
        <v>132</v>
      </c>
      <c r="AT52" s="244"/>
      <c r="AU52" s="248">
        <f>SQRT(AU50^2+AU51^2)</f>
        <v>28099.91778082427</v>
      </c>
      <c r="AV52" s="248"/>
      <c r="AW52" s="248"/>
      <c r="AX52" s="248"/>
    </row>
    <row r="53" spans="1:52" ht="13.5">
      <c r="A53" s="45" t="s">
        <v>282</v>
      </c>
      <c r="B53" s="139">
        <v>2</v>
      </c>
      <c r="C53" s="145" t="s">
        <v>10</v>
      </c>
      <c r="D53" s="139" t="s">
        <v>356</v>
      </c>
      <c r="E53" s="139"/>
      <c r="I53" s="45" t="s">
        <v>282</v>
      </c>
      <c r="K53" s="139">
        <v>2</v>
      </c>
      <c r="L53" s="145" t="s">
        <v>10</v>
      </c>
      <c r="M53" s="145"/>
      <c r="N53" s="139">
        <f>Z51</f>
        <v>0</v>
      </c>
      <c r="O53" s="139"/>
      <c r="P53" s="139"/>
      <c r="Q53" s="139"/>
      <c r="R53" s="139"/>
      <c r="S53" s="139"/>
      <c r="Y53" s="45" t="s">
        <v>282</v>
      </c>
      <c r="Z53" s="248">
        <f>2*Z51</f>
        <v>0</v>
      </c>
      <c r="AA53" s="248"/>
      <c r="AB53" s="252" t="s">
        <v>359</v>
      </c>
      <c r="AC53" s="252"/>
      <c r="AD53" s="142"/>
      <c r="AS53" s="236" t="s">
        <v>490</v>
      </c>
      <c r="AT53" s="237"/>
      <c r="AU53" s="238">
        <f>(0.95*SQRT(3)*T21*1000)/(AU52*10^(-6))/1000</f>
        <v>23.422819668366543</v>
      </c>
      <c r="AV53" s="238"/>
      <c r="AW53" s="238"/>
      <c r="AX53" s="238"/>
      <c r="AY53" s="238"/>
      <c r="AZ53" s="195" t="s">
        <v>367</v>
      </c>
    </row>
    <row r="54" spans="34:45" ht="15">
      <c r="AH54" s="56"/>
      <c r="AS54"/>
    </row>
    <row r="55" ht="15">
      <c r="AS55"/>
    </row>
    <row r="56" spans="1:59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</row>
    <row r="57" spans="1:59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</row>
    <row r="58" spans="1:59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</row>
    <row r="59" spans="1:59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</row>
    <row r="60" spans="1:59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</row>
    <row r="61" spans="1:59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</row>
    <row r="62" spans="1:59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</row>
    <row r="63" spans="1:59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</row>
    <row r="64" spans="1:59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</row>
    <row r="65" spans="1:59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</row>
    <row r="66" spans="1:59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</row>
    <row r="67" spans="1:59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</row>
    <row r="68" spans="1:59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</row>
    <row r="69" spans="1:59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</row>
    <row r="70" spans="1:59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</row>
    <row r="71" spans="1:59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</row>
    <row r="72" spans="1:59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</row>
    <row r="73" spans="1:59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</row>
    <row r="74" spans="1:59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</row>
    <row r="75" spans="1:59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</row>
    <row r="76" spans="1:59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</row>
    <row r="77" spans="1:59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</row>
    <row r="78" spans="1:59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</row>
    <row r="79" spans="1:59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</row>
    <row r="80" spans="1:59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</row>
    <row r="81" spans="1:59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</row>
    <row r="82" spans="1:59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</row>
    <row r="83" spans="1:59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</row>
    <row r="84" spans="1:59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</row>
    <row r="85" spans="1:59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</row>
    <row r="86" spans="1:59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</row>
    <row r="87" spans="1:59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</row>
    <row r="88" spans="1:59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</row>
    <row r="89" spans="1:59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</row>
    <row r="90" spans="1:59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</row>
    <row r="91" spans="1:59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</row>
    <row r="92" spans="1:59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</row>
    <row r="93" spans="1:59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</row>
    <row r="94" spans="1:59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</row>
    <row r="95" spans="1:59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</row>
    <row r="96" spans="1:59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</row>
    <row r="97" spans="1:59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</row>
    <row r="98" spans="1:59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</row>
    <row r="100" spans="1:59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</row>
    <row r="101" spans="1:29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1:29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</row>
    <row r="114" spans="1:29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:29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</sheetData>
  <sheetProtection/>
  <mergeCells count="298">
    <mergeCell ref="AB45:AC45"/>
    <mergeCell ref="AB46:AC46"/>
    <mergeCell ref="AB47:AC47"/>
    <mergeCell ref="AB48:AC48"/>
    <mergeCell ref="AB50:AC50"/>
    <mergeCell ref="BA24:BB24"/>
    <mergeCell ref="BC9:BD9"/>
    <mergeCell ref="BC10:BD10"/>
    <mergeCell ref="BC12:BD12"/>
    <mergeCell ref="BC13:BD13"/>
    <mergeCell ref="BC14:BD14"/>
    <mergeCell ref="BC15:BD15"/>
    <mergeCell ref="BC2:BD2"/>
    <mergeCell ref="BC3:BD3"/>
    <mergeCell ref="BC4:BD4"/>
    <mergeCell ref="BC5:BD5"/>
    <mergeCell ref="BC7:BD7"/>
    <mergeCell ref="BC8:BD8"/>
    <mergeCell ref="A8:N8"/>
    <mergeCell ref="A14:D14"/>
    <mergeCell ref="F14:I14"/>
    <mergeCell ref="A15:D15"/>
    <mergeCell ref="AB52:AC52"/>
    <mergeCell ref="AB53:AC53"/>
    <mergeCell ref="AB40:AC40"/>
    <mergeCell ref="AB41:AC41"/>
    <mergeCell ref="AB42:AC42"/>
    <mergeCell ref="AB43:AC43"/>
    <mergeCell ref="BA5:BB5"/>
    <mergeCell ref="BA7:BB7"/>
    <mergeCell ref="BA8:BB8"/>
    <mergeCell ref="BA9:BB9"/>
    <mergeCell ref="BA21:BB21"/>
    <mergeCell ref="BA22:BB22"/>
    <mergeCell ref="BA12:BB12"/>
    <mergeCell ref="BA13:BB13"/>
    <mergeCell ref="BA14:BB14"/>
    <mergeCell ref="BA15:BB15"/>
    <mergeCell ref="AQ8:AS8"/>
    <mergeCell ref="AQ9:AS9"/>
    <mergeCell ref="P19:AC19"/>
    <mergeCell ref="AE1:BG1"/>
    <mergeCell ref="I17:N17"/>
    <mergeCell ref="W17:Y17"/>
    <mergeCell ref="Z17:AC17"/>
    <mergeCell ref="BA2:BB2"/>
    <mergeCell ref="BA3:BB3"/>
    <mergeCell ref="BA4:BB4"/>
    <mergeCell ref="AQ13:AS13"/>
    <mergeCell ref="AQ14:AS14"/>
    <mergeCell ref="AQ15:AS15"/>
    <mergeCell ref="AN17:AN18"/>
    <mergeCell ref="AQ2:AS2"/>
    <mergeCell ref="AQ3:AS3"/>
    <mergeCell ref="AQ4:AS4"/>
    <mergeCell ref="AQ5:AS5"/>
    <mergeCell ref="AQ6:AS6"/>
    <mergeCell ref="AQ7:AS7"/>
    <mergeCell ref="BA17:BB17"/>
    <mergeCell ref="BA18:BB18"/>
    <mergeCell ref="BA19:BB19"/>
    <mergeCell ref="Y20:Z20"/>
    <mergeCell ref="Y21:Z21"/>
    <mergeCell ref="Y22:Z22"/>
    <mergeCell ref="AE17:AE18"/>
    <mergeCell ref="H1:N1"/>
    <mergeCell ref="I2:K2"/>
    <mergeCell ref="I6:K6"/>
    <mergeCell ref="I5:K5"/>
    <mergeCell ref="I4:K4"/>
    <mergeCell ref="BA25:BB25"/>
    <mergeCell ref="BA10:BB10"/>
    <mergeCell ref="V2:AA2"/>
    <mergeCell ref="S3:T3"/>
    <mergeCell ref="S10:T10"/>
    <mergeCell ref="L7:N7"/>
    <mergeCell ref="I3:K3"/>
    <mergeCell ref="L2:N2"/>
    <mergeCell ref="L3:N3"/>
    <mergeCell ref="L6:N6"/>
    <mergeCell ref="L5:N5"/>
    <mergeCell ref="L4:N4"/>
    <mergeCell ref="B10:C10"/>
    <mergeCell ref="B11:C11"/>
    <mergeCell ref="B12:C12"/>
    <mergeCell ref="A13:N13"/>
    <mergeCell ref="P13:AC13"/>
    <mergeCell ref="A1:G1"/>
    <mergeCell ref="B2:C2"/>
    <mergeCell ref="B3:C3"/>
    <mergeCell ref="B4:C4"/>
    <mergeCell ref="I7:K7"/>
    <mergeCell ref="AI42:AJ42"/>
    <mergeCell ref="AE34:AR34"/>
    <mergeCell ref="F15:I15"/>
    <mergeCell ref="F17:H17"/>
    <mergeCell ref="V14:Y14"/>
    <mergeCell ref="V15:Y15"/>
    <mergeCell ref="I23:N23"/>
    <mergeCell ref="AE16:BG16"/>
    <mergeCell ref="AB35:AC35"/>
    <mergeCell ref="AB36:AC36"/>
    <mergeCell ref="B23:C23"/>
    <mergeCell ref="B24:C24"/>
    <mergeCell ref="A26:A27"/>
    <mergeCell ref="F23:H23"/>
    <mergeCell ref="A31:A32"/>
    <mergeCell ref="AE26:AE27"/>
    <mergeCell ref="AF26:AF27"/>
    <mergeCell ref="AG26:AG27"/>
    <mergeCell ref="AH26:AL26"/>
    <mergeCell ref="A33:A34"/>
    <mergeCell ref="AB28:AC28"/>
    <mergeCell ref="AB33:AC33"/>
    <mergeCell ref="AB32:AC32"/>
    <mergeCell ref="Z50:AA50"/>
    <mergeCell ref="Z51:AA51"/>
    <mergeCell ref="P35:Q35"/>
    <mergeCell ref="A30:AC30"/>
    <mergeCell ref="AB51:AC51"/>
    <mergeCell ref="A39:AC39"/>
    <mergeCell ref="P31:Q31"/>
    <mergeCell ref="P33:Q33"/>
    <mergeCell ref="Z42:AA42"/>
    <mergeCell ref="A35:A36"/>
    <mergeCell ref="B36:D36"/>
    <mergeCell ref="M35:N35"/>
    <mergeCell ref="Z45:AA45"/>
    <mergeCell ref="Z46:AA46"/>
    <mergeCell ref="Z47:AA47"/>
    <mergeCell ref="Z48:AA48"/>
    <mergeCell ref="Z40:AA40"/>
    <mergeCell ref="Z41:AA41"/>
    <mergeCell ref="K32:L32"/>
    <mergeCell ref="N32:Q32"/>
    <mergeCell ref="N34:Q34"/>
    <mergeCell ref="K34:L34"/>
    <mergeCell ref="Z28:AA28"/>
    <mergeCell ref="Z31:AA31"/>
    <mergeCell ref="Z32:AA32"/>
    <mergeCell ref="Z33:AA33"/>
    <mergeCell ref="Z35:AA35"/>
    <mergeCell ref="Z36:AA36"/>
    <mergeCell ref="Z52:AA52"/>
    <mergeCell ref="Z53:AA53"/>
    <mergeCell ref="A20:D20"/>
    <mergeCell ref="F20:I20"/>
    <mergeCell ref="A21:D21"/>
    <mergeCell ref="F21:I21"/>
    <mergeCell ref="Z43:AA43"/>
    <mergeCell ref="I31:I32"/>
    <mergeCell ref="I33:I34"/>
    <mergeCell ref="I35:I36"/>
    <mergeCell ref="AQ10:AS10"/>
    <mergeCell ref="AQ11:AS11"/>
    <mergeCell ref="AQ12:AS12"/>
    <mergeCell ref="S4:T4"/>
    <mergeCell ref="P2:U2"/>
    <mergeCell ref="P3:R3"/>
    <mergeCell ref="P4:R4"/>
    <mergeCell ref="S5:T5"/>
    <mergeCell ref="P5:R5"/>
    <mergeCell ref="P8:AC8"/>
    <mergeCell ref="R16:T16"/>
    <mergeCell ref="R17:T17"/>
    <mergeCell ref="I26:I27"/>
    <mergeCell ref="Z26:AA26"/>
    <mergeCell ref="Z27:AA27"/>
    <mergeCell ref="A9:D9"/>
    <mergeCell ref="F9:L9"/>
    <mergeCell ref="V9:AA9"/>
    <mergeCell ref="S11:T11"/>
    <mergeCell ref="S12:T12"/>
    <mergeCell ref="B18:C18"/>
    <mergeCell ref="AB26:AC26"/>
    <mergeCell ref="P9:U9"/>
    <mergeCell ref="P10:R10"/>
    <mergeCell ref="V22:W22"/>
    <mergeCell ref="AA21:AB21"/>
    <mergeCell ref="P14:U14"/>
    <mergeCell ref="P15:U15"/>
    <mergeCell ref="P16:Q16"/>
    <mergeCell ref="P17:Q17"/>
    <mergeCell ref="P11:R11"/>
    <mergeCell ref="P12:R12"/>
    <mergeCell ref="A25:AC25"/>
    <mergeCell ref="A19:O19"/>
    <mergeCell ref="B22:C22"/>
    <mergeCell ref="B27:D27"/>
    <mergeCell ref="AB27:AC27"/>
    <mergeCell ref="K27:R27"/>
    <mergeCell ref="B16:C16"/>
    <mergeCell ref="B17:C17"/>
    <mergeCell ref="R18:T18"/>
    <mergeCell ref="P26:Q26"/>
    <mergeCell ref="AP23:AP24"/>
    <mergeCell ref="AR24:AT24"/>
    <mergeCell ref="AO23:AO24"/>
    <mergeCell ref="AE23:AE24"/>
    <mergeCell ref="P18:Q18"/>
    <mergeCell ref="AN23:AN24"/>
    <mergeCell ref="AF23:AF24"/>
    <mergeCell ref="AG23:AG24"/>
    <mergeCell ref="P20:S20"/>
    <mergeCell ref="P21:S21"/>
    <mergeCell ref="P22:S22"/>
    <mergeCell ref="P23:S23"/>
    <mergeCell ref="T20:U20"/>
    <mergeCell ref="T21:U21"/>
    <mergeCell ref="T22:U22"/>
    <mergeCell ref="T23:U23"/>
    <mergeCell ref="AL40:AM40"/>
    <mergeCell ref="AE33:BG33"/>
    <mergeCell ref="BC40:BE40"/>
    <mergeCell ref="AT31:BE31"/>
    <mergeCell ref="P1:AC1"/>
    <mergeCell ref="AJ27:AL27"/>
    <mergeCell ref="AE20:AE21"/>
    <mergeCell ref="AF21:AH21"/>
    <mergeCell ref="AN20:AN21"/>
    <mergeCell ref="AQ21:AR21"/>
    <mergeCell ref="BA26:BB26"/>
    <mergeCell ref="BA27:BB27"/>
    <mergeCell ref="AS35:AT35"/>
    <mergeCell ref="AS36:AT36"/>
    <mergeCell ref="AS37:AT37"/>
    <mergeCell ref="AU35:AX35"/>
    <mergeCell ref="AU36:AX36"/>
    <mergeCell ref="AU37:AX37"/>
    <mergeCell ref="AS34:BG34"/>
    <mergeCell ref="AE29:AL29"/>
    <mergeCell ref="AF30:AI30"/>
    <mergeCell ref="AF31:AI31"/>
    <mergeCell ref="AE39:AE40"/>
    <mergeCell ref="AI39:AI40"/>
    <mergeCell ref="AS39:AT40"/>
    <mergeCell ref="AU39:AV39"/>
    <mergeCell ref="AU40:AV40"/>
    <mergeCell ref="AZ39:AZ40"/>
    <mergeCell ref="AM44:AM45"/>
    <mergeCell ref="AN45:AO45"/>
    <mergeCell ref="AN44:AO44"/>
    <mergeCell ref="AF45:AI45"/>
    <mergeCell ref="AF49:AH49"/>
    <mergeCell ref="AI49:AJ49"/>
    <mergeCell ref="AH44:AI44"/>
    <mergeCell ref="AB31:AC31"/>
    <mergeCell ref="BC17:BD17"/>
    <mergeCell ref="BC18:BD18"/>
    <mergeCell ref="BC19:BD19"/>
    <mergeCell ref="BC21:BD21"/>
    <mergeCell ref="BC22:BD22"/>
    <mergeCell ref="BC24:BD24"/>
    <mergeCell ref="BC25:BD25"/>
    <mergeCell ref="BC26:BD26"/>
    <mergeCell ref="BC27:BD27"/>
    <mergeCell ref="AU43:AZ43"/>
    <mergeCell ref="AY41:AZ41"/>
    <mergeCell ref="AH51:AI51"/>
    <mergeCell ref="AF35:AH35"/>
    <mergeCell ref="AF36:AH36"/>
    <mergeCell ref="AF37:AH37"/>
    <mergeCell ref="AI35:AJ35"/>
    <mergeCell ref="AI36:AJ36"/>
    <mergeCell ref="AI37:AJ37"/>
    <mergeCell ref="AF42:AH42"/>
    <mergeCell ref="AS52:AT52"/>
    <mergeCell ref="AU50:AX50"/>
    <mergeCell ref="AU51:AX51"/>
    <mergeCell ref="AU52:AX52"/>
    <mergeCell ref="AS41:AT41"/>
    <mergeCell ref="AU41:AX41"/>
    <mergeCell ref="AS42:AT42"/>
    <mergeCell ref="AU42:AV42"/>
    <mergeCell ref="AX42:AZ42"/>
    <mergeCell ref="AS43:AT43"/>
    <mergeCell ref="AS48:AT48"/>
    <mergeCell ref="AU48:AX48"/>
    <mergeCell ref="AY48:AZ48"/>
    <mergeCell ref="AS49:BG49"/>
    <mergeCell ref="AS50:AT50"/>
    <mergeCell ref="AS51:AT51"/>
    <mergeCell ref="AU44:AV44"/>
    <mergeCell ref="AU45:AV45"/>
    <mergeCell ref="AU46:AY46"/>
    <mergeCell ref="AS47:AT47"/>
    <mergeCell ref="AU47:AV47"/>
    <mergeCell ref="AX47:AZ47"/>
    <mergeCell ref="AS53:AT53"/>
    <mergeCell ref="AU53:AY53"/>
    <mergeCell ref="BD42:BD43"/>
    <mergeCell ref="BE42:BG42"/>
    <mergeCell ref="BE43:BG43"/>
    <mergeCell ref="AF52:AH52"/>
    <mergeCell ref="AI52:AJ52"/>
    <mergeCell ref="AS44:AT44"/>
    <mergeCell ref="AS45:AT45"/>
    <mergeCell ref="AS46:AT46"/>
  </mergeCells>
  <dataValidations count="4">
    <dataValidation type="list" allowBlank="1" showInputMessage="1" showErrorMessage="1" sqref="Z17:AC17 I17:O17 I23:O23">
      <formula1>DMRKST</formula1>
    </dataValidation>
    <dataValidation type="list" allowBlank="1" showInputMessage="1" showErrorMessage="1" sqref="V14:Y14 F14:J14 F20:J20">
      <formula1>KABLOKESİDİ</formula1>
    </dataValidation>
    <dataValidation type="list" allowBlank="1" showInputMessage="1" showErrorMessage="1" sqref="V15:Y15 F15:J15 F21:J21">
      <formula1>KABLOTERTİP</formula1>
    </dataValidation>
    <dataValidation type="list" allowBlank="1" showInputMessage="1" showErrorMessage="1" sqref="V9 V2 F9">
      <formula1>MCM</formula1>
    </dataValidation>
  </dataValidations>
  <printOptions/>
  <pageMargins left="0.97" right="0.48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X57"/>
  <sheetViews>
    <sheetView zoomScaleSheetLayoutView="100" zoomScalePageLayoutView="0" workbookViewId="0" topLeftCell="A1">
      <selection activeCell="AG19" sqref="AG19:AJ19"/>
    </sheetView>
  </sheetViews>
  <sheetFormatPr defaultColWidth="3.7109375" defaultRowHeight="12.75" customHeight="1"/>
  <cols>
    <col min="1" max="1" width="4.140625" style="45" customWidth="1"/>
    <col min="2" max="2" width="3.7109375" style="45" customWidth="1"/>
    <col min="3" max="3" width="3.140625" style="45" customWidth="1"/>
    <col min="4" max="4" width="4.00390625" style="45" customWidth="1"/>
    <col min="5" max="5" width="2.57421875" style="45" customWidth="1"/>
    <col min="6" max="6" width="4.140625" style="45" customWidth="1"/>
    <col min="7" max="7" width="4.57421875" style="45" customWidth="1"/>
    <col min="8" max="8" width="2.8515625" style="45" customWidth="1"/>
    <col min="9" max="9" width="2.140625" style="45" customWidth="1"/>
    <col min="10" max="10" width="1.28515625" style="45" customWidth="1"/>
    <col min="11" max="11" width="2.57421875" style="45" customWidth="1"/>
    <col min="12" max="12" width="4.421875" style="45" customWidth="1"/>
    <col min="13" max="13" width="0.9921875" style="45" customWidth="1"/>
    <col min="14" max="14" width="5.421875" style="45" customWidth="1"/>
    <col min="15" max="15" width="0.9921875" style="45" customWidth="1"/>
    <col min="16" max="16" width="6.57421875" style="45" customWidth="1"/>
    <col min="17" max="17" width="3.7109375" style="45" customWidth="1"/>
    <col min="18" max="18" width="2.7109375" style="45" customWidth="1"/>
    <col min="19" max="19" width="3.7109375" style="45" customWidth="1"/>
    <col min="20" max="20" width="1.28515625" style="45" customWidth="1"/>
    <col min="21" max="21" width="0.85546875" style="45" customWidth="1"/>
    <col min="22" max="22" width="3.7109375" style="98" customWidth="1"/>
    <col min="23" max="23" width="3.140625" style="45" customWidth="1"/>
    <col min="24" max="24" width="3.00390625" style="45" customWidth="1"/>
    <col min="25" max="25" width="3.7109375" style="45" customWidth="1"/>
    <col min="26" max="26" width="2.28125" style="45" customWidth="1"/>
    <col min="27" max="28" width="2.8515625" style="45" customWidth="1"/>
    <col min="29" max="29" width="3.7109375" style="45" customWidth="1"/>
    <col min="30" max="30" width="5.421875" style="45" customWidth="1"/>
    <col min="31" max="31" width="3.8515625" style="45" customWidth="1"/>
    <col min="32" max="32" width="3.7109375" style="45" customWidth="1"/>
    <col min="33" max="33" width="3.421875" style="45" customWidth="1"/>
    <col min="34" max="34" width="5.421875" style="45" customWidth="1"/>
    <col min="35" max="35" width="0.9921875" style="45" customWidth="1"/>
    <col min="36" max="36" width="5.8515625" style="45" customWidth="1"/>
    <col min="37" max="37" width="0.9921875" style="45" customWidth="1"/>
    <col min="38" max="38" width="4.00390625" style="45" bestFit="1" customWidth="1"/>
    <col min="39" max="40" width="3.7109375" style="45" customWidth="1"/>
    <col min="41" max="41" width="5.8515625" style="45" customWidth="1"/>
    <col min="42" max="43" width="3.7109375" style="45" customWidth="1"/>
    <col min="44" max="44" width="4.28125" style="45" customWidth="1"/>
    <col min="45" max="45" width="5.421875" style="45" customWidth="1"/>
    <col min="46" max="46" width="0.9921875" style="45" customWidth="1"/>
    <col min="47" max="47" width="5.421875" style="45" customWidth="1"/>
    <col min="48" max="48" width="0.9921875" style="45" customWidth="1"/>
    <col min="49" max="49" width="3.7109375" style="45" customWidth="1"/>
    <col min="50" max="50" width="2.00390625" style="45" customWidth="1"/>
    <col min="51" max="51" width="2.421875" style="45" customWidth="1"/>
    <col min="52" max="52" width="3.7109375" style="45" customWidth="1"/>
    <col min="53" max="53" width="4.8515625" style="45" customWidth="1"/>
    <col min="54" max="54" width="1.1484375" style="45" customWidth="1"/>
    <col min="55" max="55" width="3.7109375" style="45" customWidth="1"/>
    <col min="56" max="56" width="1.1484375" style="45" customWidth="1"/>
    <col min="57" max="57" width="1.421875" style="45" customWidth="1"/>
    <col min="58" max="58" width="3.7109375" style="45" customWidth="1"/>
    <col min="59" max="59" width="5.7109375" style="45" customWidth="1"/>
    <col min="60" max="60" width="3.7109375" style="45" customWidth="1"/>
    <col min="61" max="61" width="1.28515625" style="45" customWidth="1"/>
    <col min="62" max="62" width="4.8515625" style="45" customWidth="1"/>
    <col min="63" max="63" width="4.57421875" style="45" customWidth="1"/>
    <col min="64" max="64" width="4.140625" style="45" customWidth="1"/>
    <col min="65" max="65" width="4.7109375" style="45" customWidth="1"/>
    <col min="66" max="66" width="1.28515625" style="45" customWidth="1"/>
    <col min="67" max="67" width="5.00390625" style="45" customWidth="1"/>
    <col min="68" max="68" width="0.9921875" style="45" customWidth="1"/>
    <col min="69" max="69" width="1.57421875" style="45" customWidth="1"/>
    <col min="70" max="70" width="4.421875" style="45" customWidth="1"/>
    <col min="71" max="73" width="3.7109375" style="45" customWidth="1"/>
    <col min="74" max="74" width="4.8515625" style="45" bestFit="1" customWidth="1"/>
    <col min="75" max="75" width="1.28515625" style="45" customWidth="1"/>
    <col min="76" max="76" width="2.7109375" style="45" customWidth="1"/>
    <col min="77" max="77" width="1.421875" style="45" customWidth="1"/>
    <col min="78" max="78" width="3.140625" style="45" customWidth="1"/>
    <col min="79" max="16384" width="3.7109375" style="45" customWidth="1"/>
  </cols>
  <sheetData>
    <row r="1" spans="1:74" ht="12.75" customHeight="1">
      <c r="A1" s="314" t="s">
        <v>37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AC1" s="295" t="s">
        <v>125</v>
      </c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Z1" s="323" t="s">
        <v>417</v>
      </c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</row>
    <row r="2" spans="1:74" ht="12.75" customHeight="1">
      <c r="A2" s="130" t="s">
        <v>218</v>
      </c>
      <c r="B2" s="275">
        <v>2766</v>
      </c>
      <c r="C2" s="275"/>
      <c r="D2" s="88" t="s">
        <v>39</v>
      </c>
      <c r="J2" s="262" t="s">
        <v>219</v>
      </c>
      <c r="K2" s="262"/>
      <c r="L2" s="240" t="s">
        <v>220</v>
      </c>
      <c r="M2" s="240"/>
      <c r="Q2" s="98" t="s">
        <v>221</v>
      </c>
      <c r="R2" s="275">
        <v>100</v>
      </c>
      <c r="S2" s="275"/>
      <c r="T2" s="243" t="s">
        <v>39</v>
      </c>
      <c r="U2" s="244"/>
      <c r="V2" s="244"/>
      <c r="AC2" s="248" t="s">
        <v>116</v>
      </c>
      <c r="AD2" s="248"/>
      <c r="AE2" s="248"/>
      <c r="AF2" s="248"/>
      <c r="AG2" s="248"/>
      <c r="AH2" s="248"/>
      <c r="AI2" s="248"/>
      <c r="AJ2" s="248"/>
      <c r="AK2" s="248"/>
      <c r="AL2" s="248"/>
      <c r="AN2" s="268" t="s">
        <v>117</v>
      </c>
      <c r="AO2" s="241"/>
      <c r="AP2" s="241"/>
      <c r="AQ2" s="241"/>
      <c r="AR2" s="241"/>
      <c r="AS2" s="241"/>
      <c r="AT2" s="241"/>
      <c r="AU2" s="241"/>
      <c r="AV2" s="241"/>
      <c r="AW2" s="241"/>
      <c r="AX2" s="86"/>
      <c r="AZ2" s="248" t="s">
        <v>130</v>
      </c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68" t="s">
        <v>131</v>
      </c>
      <c r="BM2" s="241"/>
      <c r="BN2" s="241"/>
      <c r="BO2" s="241"/>
      <c r="BP2" s="241"/>
      <c r="BQ2" s="241"/>
      <c r="BR2" s="241"/>
      <c r="BS2" s="241"/>
      <c r="BT2" s="241"/>
      <c r="BU2" s="241"/>
      <c r="BV2" s="241"/>
    </row>
    <row r="3" spans="1:74" ht="12.75" customHeight="1">
      <c r="A3" s="130" t="s">
        <v>222</v>
      </c>
      <c r="B3" s="265">
        <v>154</v>
      </c>
      <c r="C3" s="266"/>
      <c r="D3" s="99" t="s">
        <v>38</v>
      </c>
      <c r="J3" s="262"/>
      <c r="K3" s="262"/>
      <c r="L3" s="248" t="s">
        <v>223</v>
      </c>
      <c r="M3" s="248"/>
      <c r="V3" s="98" t="s">
        <v>224</v>
      </c>
      <c r="W3" s="298">
        <f>R2/B2</f>
        <v>0.036153289949385395</v>
      </c>
      <c r="X3" s="298"/>
      <c r="Y3" s="46" t="s">
        <v>53</v>
      </c>
      <c r="Z3" s="46"/>
      <c r="AA3" s="46"/>
      <c r="AB3" s="46"/>
      <c r="AC3" s="278" t="s">
        <v>88</v>
      </c>
      <c r="AD3" s="278"/>
      <c r="AE3" s="278"/>
      <c r="AF3" s="297"/>
      <c r="AG3" s="311" t="s">
        <v>97</v>
      </c>
      <c r="AH3" s="311"/>
      <c r="AI3" s="311"/>
      <c r="AJ3" s="311"/>
      <c r="AN3" s="319" t="s">
        <v>88</v>
      </c>
      <c r="AO3" s="294"/>
      <c r="AP3" s="294"/>
      <c r="AQ3" s="294"/>
      <c r="AR3" s="311" t="s">
        <v>93</v>
      </c>
      <c r="AS3" s="311"/>
      <c r="AT3" s="311"/>
      <c r="AU3" s="311"/>
      <c r="AV3" s="47"/>
      <c r="AW3" s="48"/>
      <c r="AX3" s="48"/>
      <c r="AZ3" s="242" t="s">
        <v>135</v>
      </c>
      <c r="BA3" s="242"/>
      <c r="BB3" s="242"/>
      <c r="BC3" s="242"/>
      <c r="BD3" s="242"/>
      <c r="BE3" s="242"/>
      <c r="BF3" s="242"/>
      <c r="BG3" s="242"/>
      <c r="BH3" s="49"/>
      <c r="BI3" s="49"/>
      <c r="BJ3" s="49"/>
      <c r="BK3" s="49"/>
      <c r="BL3" s="236" t="s">
        <v>135</v>
      </c>
      <c r="BM3" s="237"/>
      <c r="BN3" s="237"/>
      <c r="BO3" s="237"/>
      <c r="BP3" s="237"/>
      <c r="BQ3" s="237"/>
      <c r="BR3" s="237"/>
      <c r="BS3" s="237"/>
      <c r="BT3" s="50"/>
      <c r="BU3" s="48"/>
      <c r="BV3" s="48"/>
    </row>
    <row r="4" spans="1:72" ht="12.75" customHeight="1">
      <c r="A4" s="251" t="s">
        <v>225</v>
      </c>
      <c r="B4" s="251"/>
      <c r="C4" s="251"/>
      <c r="D4" s="84"/>
      <c r="J4" s="309" t="s">
        <v>226</v>
      </c>
      <c r="K4" s="309"/>
      <c r="L4" s="84">
        <v>2</v>
      </c>
      <c r="M4" s="92" t="s">
        <v>10</v>
      </c>
      <c r="N4" s="84" t="s">
        <v>227</v>
      </c>
      <c r="V4" s="98" t="s">
        <v>228</v>
      </c>
      <c r="W4" s="298">
        <f>2*W3</f>
        <v>0.07230657989877079</v>
      </c>
      <c r="X4" s="298"/>
      <c r="Y4" s="46" t="s">
        <v>53</v>
      </c>
      <c r="Z4" s="46"/>
      <c r="AA4" s="46"/>
      <c r="AB4" s="46"/>
      <c r="AC4" s="278" t="s">
        <v>87</v>
      </c>
      <c r="AD4" s="278"/>
      <c r="AE4" s="278"/>
      <c r="AF4" s="297"/>
      <c r="AG4" s="311" t="s">
        <v>115</v>
      </c>
      <c r="AH4" s="311"/>
      <c r="AI4" s="311"/>
      <c r="AJ4" s="311"/>
      <c r="AN4" s="319" t="s">
        <v>87</v>
      </c>
      <c r="AO4" s="294"/>
      <c r="AP4" s="294"/>
      <c r="AQ4" s="294"/>
      <c r="AR4" s="311" t="s">
        <v>115</v>
      </c>
      <c r="AS4" s="311"/>
      <c r="AT4" s="311"/>
      <c r="AU4" s="311"/>
      <c r="AV4" s="47"/>
      <c r="AW4" s="48"/>
      <c r="AX4" s="48"/>
      <c r="AZ4" s="87" t="s">
        <v>192</v>
      </c>
      <c r="BA4" s="302">
        <f>W6+W19+W25+W31+W37+W41+W45</f>
        <v>0.06085143905585011</v>
      </c>
      <c r="BB4" s="302"/>
      <c r="BC4" s="302"/>
      <c r="BD4" s="90" t="s">
        <v>133</v>
      </c>
      <c r="BE4" s="45" t="s">
        <v>134</v>
      </c>
      <c r="BF4" s="303">
        <f>W3+W11+W16+W22+W28+W35+W39+W43</f>
        <v>0.29484384235434236</v>
      </c>
      <c r="BG4" s="251"/>
      <c r="BL4" s="88" t="s">
        <v>132</v>
      </c>
      <c r="BM4" s="307">
        <f>W14</f>
        <v>5.040957781978576</v>
      </c>
      <c r="BN4" s="307"/>
      <c r="BO4" s="51"/>
      <c r="BP4" s="51"/>
      <c r="BQ4" s="51"/>
      <c r="BR4" s="51"/>
      <c r="BS4" s="51"/>
      <c r="BT4" s="48"/>
    </row>
    <row r="5" spans="1:72" ht="12.75" customHeight="1">
      <c r="A5" s="251" t="s">
        <v>229</v>
      </c>
      <c r="B5" s="251"/>
      <c r="C5" s="251"/>
      <c r="D5" s="84"/>
      <c r="J5" s="309" t="s">
        <v>230</v>
      </c>
      <c r="K5" s="309"/>
      <c r="L5" s="70">
        <v>0.1</v>
      </c>
      <c r="M5" s="92" t="s">
        <v>10</v>
      </c>
      <c r="N5" s="84" t="s">
        <v>227</v>
      </c>
      <c r="V5" s="98" t="s">
        <v>231</v>
      </c>
      <c r="W5" s="298">
        <f>W3</f>
        <v>0.036153289949385395</v>
      </c>
      <c r="X5" s="298"/>
      <c r="Y5" s="46" t="s">
        <v>53</v>
      </c>
      <c r="Z5" s="46"/>
      <c r="AA5" s="46"/>
      <c r="AB5" s="46"/>
      <c r="AC5" s="98" t="s">
        <v>70</v>
      </c>
      <c r="AD5" s="248">
        <f>VLOOKUP(AG3,TGK!W2:X24,2,0)</f>
        <v>0.0754</v>
      </c>
      <c r="AE5" s="248"/>
      <c r="AF5" s="109" t="s">
        <v>61</v>
      </c>
      <c r="AM5" s="48"/>
      <c r="AN5" s="52" t="s">
        <v>70</v>
      </c>
      <c r="AO5" s="241">
        <f>VLOOKUP(AR3,TGK!W2:Y24,3,0)</f>
        <v>0.247</v>
      </c>
      <c r="AP5" s="241"/>
      <c r="AQ5" s="109" t="s">
        <v>61</v>
      </c>
      <c r="AR5" s="53"/>
      <c r="AS5" s="53"/>
      <c r="AT5" s="53"/>
      <c r="AU5" s="53"/>
      <c r="AV5" s="53"/>
      <c r="AZ5" s="87"/>
      <c r="BL5" s="52"/>
      <c r="BM5" s="48"/>
      <c r="BN5" s="48"/>
      <c r="BO5" s="48"/>
      <c r="BP5" s="48"/>
      <c r="BQ5" s="48"/>
      <c r="BR5" s="48"/>
      <c r="BS5" s="48"/>
      <c r="BT5" s="48"/>
    </row>
    <row r="6" spans="1:72" ht="12.75" customHeight="1">
      <c r="A6" s="251" t="s">
        <v>232</v>
      </c>
      <c r="B6" s="251"/>
      <c r="C6" s="251"/>
      <c r="D6" s="84"/>
      <c r="V6" s="98" t="s">
        <v>233</v>
      </c>
      <c r="W6" s="298">
        <f>0.1*W3</f>
        <v>0.0036153289949385397</v>
      </c>
      <c r="X6" s="298"/>
      <c r="Y6" s="46" t="s">
        <v>53</v>
      </c>
      <c r="Z6" s="46"/>
      <c r="AA6" s="46"/>
      <c r="AB6" s="46"/>
      <c r="AC6" s="98" t="s">
        <v>71</v>
      </c>
      <c r="AD6" s="248">
        <f>INDEX(TGK!Z1:AB24,MATCH(KISADEVRE_PU!AG3,TGK!Z1:Z24,0),MATCH(KISADEVRE_PU!AG4,TGK!Z1:AB1,0))</f>
        <v>0.16799</v>
      </c>
      <c r="AE6" s="248"/>
      <c r="AF6" s="109" t="s">
        <v>61</v>
      </c>
      <c r="AM6" s="48"/>
      <c r="AN6" s="52" t="s">
        <v>71</v>
      </c>
      <c r="AO6" s="241">
        <f>INDEX(TGK!Z1:AB24,MATCH(KISADEVRE_PU!AR3,TGK!Z1:Z24,0),MATCH(KISADEVRE_PU!AR4,TGK!Z1:AB1,0))</f>
        <v>0.191226</v>
      </c>
      <c r="AP6" s="241"/>
      <c r="AQ6" s="109" t="s">
        <v>61</v>
      </c>
      <c r="AR6" s="53"/>
      <c r="AS6" s="53"/>
      <c r="AT6" s="53"/>
      <c r="AU6" s="53"/>
      <c r="AV6" s="53"/>
      <c r="AZ6" s="324" t="s">
        <v>234</v>
      </c>
      <c r="BA6" s="240" t="s">
        <v>220</v>
      </c>
      <c r="BB6" s="240"/>
      <c r="BC6" s="240"/>
      <c r="BD6" s="240"/>
      <c r="BE6" s="239" t="s">
        <v>7</v>
      </c>
      <c r="BF6" s="281">
        <f>(R2*10^3)/(BA7*BC7)</f>
        <v>1673.4790411293502</v>
      </c>
      <c r="BG6" s="281"/>
      <c r="BH6" s="54"/>
      <c r="BL6" s="304" t="s">
        <v>235</v>
      </c>
      <c r="BM6" s="240" t="s">
        <v>220</v>
      </c>
      <c r="BN6" s="240"/>
      <c r="BO6" s="240"/>
      <c r="BP6" s="240"/>
      <c r="BQ6" s="239" t="s">
        <v>7</v>
      </c>
      <c r="BR6" s="305">
        <f>(R2*10^3)/(BM7*BO7)</f>
        <v>1673.4790411293502</v>
      </c>
      <c r="BS6" s="305"/>
      <c r="BT6" s="55"/>
    </row>
    <row r="7" spans="1:72" ht="12.75" customHeight="1">
      <c r="A7" s="251" t="s">
        <v>236</v>
      </c>
      <c r="B7" s="251"/>
      <c r="C7" s="251"/>
      <c r="D7" s="84"/>
      <c r="K7" s="98"/>
      <c r="V7" s="98" t="s">
        <v>237</v>
      </c>
      <c r="W7" s="317">
        <f>W6</f>
        <v>0.0036153289949385397</v>
      </c>
      <c r="X7" s="318"/>
      <c r="Y7" s="46"/>
      <c r="Z7" s="46"/>
      <c r="AA7" s="46"/>
      <c r="AB7" s="46"/>
      <c r="AC7" s="278" t="s">
        <v>118</v>
      </c>
      <c r="AD7" s="278"/>
      <c r="AE7" s="278"/>
      <c r="AF7" s="278"/>
      <c r="AG7" s="311" t="s">
        <v>120</v>
      </c>
      <c r="AH7" s="311"/>
      <c r="AI7" s="311"/>
      <c r="AJ7" s="311"/>
      <c r="AK7" s="311"/>
      <c r="AM7" s="48"/>
      <c r="AN7" s="319" t="s">
        <v>118</v>
      </c>
      <c r="AO7" s="294"/>
      <c r="AP7" s="294"/>
      <c r="AQ7" s="294"/>
      <c r="AR7" s="311" t="s">
        <v>120</v>
      </c>
      <c r="AS7" s="311"/>
      <c r="AT7" s="311"/>
      <c r="AU7" s="311"/>
      <c r="AV7" s="311"/>
      <c r="AZ7" s="324"/>
      <c r="BA7" s="56">
        <f>SQRT(3)</f>
        <v>1.7320508075688772</v>
      </c>
      <c r="BB7" s="57" t="s">
        <v>10</v>
      </c>
      <c r="BC7" s="241">
        <v>34.5</v>
      </c>
      <c r="BD7" s="241"/>
      <c r="BE7" s="239"/>
      <c r="BF7" s="281"/>
      <c r="BG7" s="281"/>
      <c r="BH7" s="54"/>
      <c r="BL7" s="304"/>
      <c r="BM7" s="58">
        <f>SQRT(3)</f>
        <v>1.7320508075688772</v>
      </c>
      <c r="BN7" s="59" t="s">
        <v>10</v>
      </c>
      <c r="BO7" s="241">
        <v>34.5</v>
      </c>
      <c r="BP7" s="241"/>
      <c r="BQ7" s="239"/>
      <c r="BR7" s="305"/>
      <c r="BS7" s="305"/>
      <c r="BT7" s="55"/>
    </row>
    <row r="8" spans="1:72" ht="11.25" customHeight="1">
      <c r="A8" s="293" t="s">
        <v>45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V8" s="98" t="s">
        <v>238</v>
      </c>
      <c r="W8" s="298">
        <f>W6</f>
        <v>0.0036153289949385397</v>
      </c>
      <c r="X8" s="298"/>
      <c r="Y8" s="46" t="s">
        <v>53</v>
      </c>
      <c r="Z8" s="46"/>
      <c r="AA8" s="46"/>
      <c r="AB8" s="46"/>
      <c r="AC8" s="248" t="s">
        <v>239</v>
      </c>
      <c r="AD8" s="248"/>
      <c r="AE8" s="87">
        <f>VLOOKUP(AG7,TGK!AD1:AF3,2,0)</f>
        <v>8</v>
      </c>
      <c r="AM8" s="48"/>
      <c r="AN8" s="268" t="s">
        <v>239</v>
      </c>
      <c r="AO8" s="241"/>
      <c r="AP8" s="99">
        <f>VLOOKUP(AR7,TGK!AD1:AF3,2,0)</f>
        <v>8</v>
      </c>
      <c r="AQ8" s="48"/>
      <c r="AZ8" s="98"/>
      <c r="BL8" s="52"/>
      <c r="BM8" s="48"/>
      <c r="BN8" s="48"/>
      <c r="BO8" s="48"/>
      <c r="BP8" s="48"/>
      <c r="BQ8" s="48"/>
      <c r="BR8" s="48"/>
      <c r="BS8" s="48"/>
      <c r="BT8" s="48"/>
    </row>
    <row r="9" spans="1:72" ht="13.5" customHeight="1">
      <c r="A9" s="130" t="s">
        <v>302</v>
      </c>
      <c r="B9" s="275">
        <v>11.9</v>
      </c>
      <c r="C9" s="275"/>
      <c r="D9" s="45" t="s">
        <v>41</v>
      </c>
      <c r="H9" s="253" t="s">
        <v>241</v>
      </c>
      <c r="I9" s="253"/>
      <c r="J9" s="253" t="s">
        <v>242</v>
      </c>
      <c r="K9" s="253"/>
      <c r="L9" s="253" t="s">
        <v>243</v>
      </c>
      <c r="M9" s="253"/>
      <c r="N9" s="82" t="s">
        <v>244</v>
      </c>
      <c r="W9" s="46"/>
      <c r="X9" s="46"/>
      <c r="Y9" s="46"/>
      <c r="Z9" s="46"/>
      <c r="AA9" s="46"/>
      <c r="AB9" s="46"/>
      <c r="AC9" s="248" t="s">
        <v>245</v>
      </c>
      <c r="AD9" s="248"/>
      <c r="AE9" s="87">
        <f>VLOOKUP(AG7,TGK!AD1:AF3,3,0)</f>
        <v>4</v>
      </c>
      <c r="AM9" s="48"/>
      <c r="AN9" s="268" t="s">
        <v>245</v>
      </c>
      <c r="AO9" s="241"/>
      <c r="AP9" s="99">
        <f>VLOOKUP(AR7,TGK!AD1:AF3,3,0)</f>
        <v>4</v>
      </c>
      <c r="AQ9" s="48"/>
      <c r="AZ9" s="321" t="s">
        <v>246</v>
      </c>
      <c r="BA9" s="60" t="s">
        <v>247</v>
      </c>
      <c r="BB9" s="253" t="s">
        <v>7</v>
      </c>
      <c r="BC9" s="240">
        <v>1</v>
      </c>
      <c r="BD9" s="240"/>
      <c r="BE9" s="239" t="s">
        <v>7</v>
      </c>
      <c r="BF9" s="301">
        <f>BC9/BC10</f>
        <v>3.321621478624391</v>
      </c>
      <c r="BG9" s="301"/>
      <c r="BL9" s="299" t="s">
        <v>248</v>
      </c>
      <c r="BM9" s="60" t="s">
        <v>247</v>
      </c>
      <c r="BN9" s="239" t="s">
        <v>7</v>
      </c>
      <c r="BO9" s="240">
        <v>1</v>
      </c>
      <c r="BP9" s="240"/>
      <c r="BQ9" s="239" t="s">
        <v>7</v>
      </c>
      <c r="BR9" s="306">
        <f>BO9/BO10</f>
        <v>0.198375</v>
      </c>
      <c r="BS9" s="306"/>
      <c r="BT9" s="48"/>
    </row>
    <row r="10" spans="1:72" ht="12" customHeight="1">
      <c r="A10" s="130" t="s">
        <v>301</v>
      </c>
      <c r="B10" s="275">
        <v>100</v>
      </c>
      <c r="C10" s="275"/>
      <c r="D10" s="86" t="s">
        <v>39</v>
      </c>
      <c r="H10" s="253"/>
      <c r="I10" s="253"/>
      <c r="J10" s="253"/>
      <c r="K10" s="253"/>
      <c r="L10" s="253"/>
      <c r="M10" s="253"/>
      <c r="N10" s="89" t="s">
        <v>250</v>
      </c>
      <c r="V10" s="98" t="s">
        <v>251</v>
      </c>
      <c r="W10" s="298">
        <f>B9/B10</f>
        <v>0.11900000000000001</v>
      </c>
      <c r="X10" s="298"/>
      <c r="Y10" s="46" t="s">
        <v>53</v>
      </c>
      <c r="Z10" s="46"/>
      <c r="AA10" s="46"/>
      <c r="AB10" s="46"/>
      <c r="AC10" s="129" t="s">
        <v>73</v>
      </c>
      <c r="AD10" s="85">
        <v>1200</v>
      </c>
      <c r="AE10" s="45" t="s">
        <v>74</v>
      </c>
      <c r="AM10" s="48"/>
      <c r="AN10" s="127" t="s">
        <v>73</v>
      </c>
      <c r="AO10" s="85">
        <v>1200</v>
      </c>
      <c r="AP10" s="45" t="s">
        <v>74</v>
      </c>
      <c r="AQ10" s="48"/>
      <c r="AZ10" s="321"/>
      <c r="BA10" s="45" t="s">
        <v>253</v>
      </c>
      <c r="BB10" s="253"/>
      <c r="BC10" s="241">
        <f>SQRT(BA4^2+BF4^2)</f>
        <v>0.3010577835058249</v>
      </c>
      <c r="BD10" s="241"/>
      <c r="BE10" s="239"/>
      <c r="BF10" s="301"/>
      <c r="BG10" s="301"/>
      <c r="BL10" s="299"/>
      <c r="BM10" s="48" t="s">
        <v>253</v>
      </c>
      <c r="BN10" s="239"/>
      <c r="BO10" s="307">
        <f>BM4</f>
        <v>5.040957781978576</v>
      </c>
      <c r="BP10" s="241"/>
      <c r="BQ10" s="239"/>
      <c r="BR10" s="306"/>
      <c r="BS10" s="306"/>
      <c r="BT10" s="48"/>
    </row>
    <row r="11" spans="8:72" ht="14.25" customHeight="1">
      <c r="H11" s="248" t="s">
        <v>254</v>
      </c>
      <c r="I11" s="248"/>
      <c r="J11" s="248" t="s">
        <v>255</v>
      </c>
      <c r="K11" s="248"/>
      <c r="L11" s="251" t="s">
        <v>256</v>
      </c>
      <c r="M11" s="251"/>
      <c r="N11" s="87">
        <v>0</v>
      </c>
      <c r="V11" s="98" t="s">
        <v>257</v>
      </c>
      <c r="W11" s="298">
        <f>W10</f>
        <v>0.11900000000000001</v>
      </c>
      <c r="X11" s="298"/>
      <c r="Y11" s="46" t="s">
        <v>53</v>
      </c>
      <c r="Z11" s="46"/>
      <c r="AA11" s="46"/>
      <c r="AB11" s="46"/>
      <c r="AC11" s="262" t="s">
        <v>252</v>
      </c>
      <c r="AD11" s="240" t="s">
        <v>299</v>
      </c>
      <c r="AE11" s="240"/>
      <c r="AF11" s="240"/>
      <c r="AG11" s="253" t="s">
        <v>7</v>
      </c>
      <c r="AH11" s="82">
        <f>AD5</f>
        <v>0.0754</v>
      </c>
      <c r="AI11" s="92" t="s">
        <v>10</v>
      </c>
      <c r="AJ11" s="82">
        <f>AD10</f>
        <v>1200</v>
      </c>
      <c r="AK11" s="92" t="s">
        <v>10</v>
      </c>
      <c r="AL11" s="82">
        <v>100</v>
      </c>
      <c r="AM11" s="48"/>
      <c r="AN11" s="296" t="s">
        <v>252</v>
      </c>
      <c r="AO11" s="240" t="s">
        <v>299</v>
      </c>
      <c r="AP11" s="240"/>
      <c r="AQ11" s="240"/>
      <c r="AR11" s="253" t="s">
        <v>7</v>
      </c>
      <c r="AS11" s="82">
        <f>AO5</f>
        <v>0.247</v>
      </c>
      <c r="AT11" s="92" t="s">
        <v>10</v>
      </c>
      <c r="AU11" s="82">
        <f>AO10</f>
        <v>1200</v>
      </c>
      <c r="AV11" s="92" t="s">
        <v>10</v>
      </c>
      <c r="AW11" s="82">
        <v>100</v>
      </c>
      <c r="AX11" s="86"/>
      <c r="BL11" s="62"/>
      <c r="BM11" s="48"/>
      <c r="BN11" s="48"/>
      <c r="BO11" s="48"/>
      <c r="BP11" s="48"/>
      <c r="BQ11" s="48"/>
      <c r="BR11" s="48"/>
      <c r="BS11" s="48"/>
      <c r="BT11" s="48"/>
    </row>
    <row r="12" spans="22:72" ht="14.25" customHeight="1">
      <c r="V12" s="98" t="s">
        <v>259</v>
      </c>
      <c r="W12" s="298">
        <f>W10</f>
        <v>0.11900000000000001</v>
      </c>
      <c r="X12" s="298"/>
      <c r="Y12" s="46" t="s">
        <v>53</v>
      </c>
      <c r="Z12" s="46"/>
      <c r="AA12" s="46"/>
      <c r="AB12" s="46"/>
      <c r="AC12" s="262"/>
      <c r="AD12" s="248" t="s">
        <v>258</v>
      </c>
      <c r="AE12" s="248"/>
      <c r="AF12" s="248"/>
      <c r="AG12" s="253"/>
      <c r="AH12" s="79"/>
      <c r="AI12" s="79"/>
      <c r="AJ12" s="79">
        <f>B15</f>
        <v>34.5</v>
      </c>
      <c r="AK12" s="80">
        <v>2</v>
      </c>
      <c r="AL12" s="79"/>
      <c r="AM12" s="48"/>
      <c r="AN12" s="296"/>
      <c r="AO12" s="248" t="s">
        <v>258</v>
      </c>
      <c r="AP12" s="248"/>
      <c r="AQ12" s="248"/>
      <c r="AR12" s="253"/>
      <c r="AS12" s="79"/>
      <c r="AT12" s="79"/>
      <c r="AU12" s="79">
        <f>B15</f>
        <v>34.5</v>
      </c>
      <c r="AV12" s="80">
        <v>2</v>
      </c>
      <c r="AW12" s="79"/>
      <c r="AX12" s="86"/>
      <c r="AZ12" s="63" t="s">
        <v>246</v>
      </c>
      <c r="BA12" s="289">
        <f>BF6</f>
        <v>1673.4790411293502</v>
      </c>
      <c r="BB12" s="248"/>
      <c r="BC12" s="248"/>
      <c r="BD12" s="92" t="s">
        <v>10</v>
      </c>
      <c r="BE12" s="248">
        <f>BF9</f>
        <v>3.321621478624391</v>
      </c>
      <c r="BF12" s="248"/>
      <c r="BL12" s="64" t="s">
        <v>248</v>
      </c>
      <c r="BM12" s="308">
        <f>BR6</f>
        <v>1673.4790411293502</v>
      </c>
      <c r="BN12" s="241"/>
      <c r="BO12" s="241"/>
      <c r="BP12" s="65" t="s">
        <v>10</v>
      </c>
      <c r="BQ12" s="241">
        <f>BR9</f>
        <v>0.198375</v>
      </c>
      <c r="BR12" s="241"/>
      <c r="BS12" s="48"/>
      <c r="BT12" s="48"/>
    </row>
    <row r="13" spans="1:72" ht="11.25" customHeight="1">
      <c r="A13" s="295" t="s">
        <v>46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W13" s="46"/>
      <c r="X13" s="46"/>
      <c r="Y13" s="46"/>
      <c r="Z13" s="46"/>
      <c r="AA13" s="46"/>
      <c r="AB13" s="46"/>
      <c r="AC13" s="98" t="s">
        <v>260</v>
      </c>
      <c r="AD13" s="84">
        <f>AE8</f>
        <v>8</v>
      </c>
      <c r="AE13" s="49" t="s">
        <v>311</v>
      </c>
      <c r="AF13" s="98"/>
      <c r="AG13" s="98" t="s">
        <v>260</v>
      </c>
      <c r="AH13" s="84">
        <f>AE8</f>
        <v>8</v>
      </c>
      <c r="AI13" s="92" t="s">
        <v>10</v>
      </c>
      <c r="AJ13" s="84">
        <f>W37</f>
        <v>0.007601764335223691</v>
      </c>
      <c r="AM13" s="48"/>
      <c r="AN13" s="52" t="s">
        <v>260</v>
      </c>
      <c r="AO13" s="84">
        <f>AP8</f>
        <v>8</v>
      </c>
      <c r="AP13" s="49" t="s">
        <v>311</v>
      </c>
      <c r="AQ13" s="98"/>
      <c r="AR13" s="98" t="s">
        <v>260</v>
      </c>
      <c r="AS13" s="84">
        <f>AP8</f>
        <v>8</v>
      </c>
      <c r="AT13" s="92" t="s">
        <v>10</v>
      </c>
      <c r="AU13" s="94">
        <f>Y37</f>
        <v>0.024902331442974164</v>
      </c>
      <c r="AZ13" s="63"/>
      <c r="BL13" s="64"/>
      <c r="BM13" s="48"/>
      <c r="BN13" s="48"/>
      <c r="BO13" s="48"/>
      <c r="BP13" s="48"/>
      <c r="BQ13" s="48"/>
      <c r="BR13" s="48"/>
      <c r="BS13" s="48"/>
      <c r="BT13" s="48"/>
    </row>
    <row r="14" spans="1:72" ht="14.25" customHeight="1">
      <c r="A14" s="274" t="s">
        <v>55</v>
      </c>
      <c r="B14" s="274"/>
      <c r="C14" s="274"/>
      <c r="D14" s="83"/>
      <c r="E14" s="311" t="s">
        <v>54</v>
      </c>
      <c r="F14" s="311"/>
      <c r="K14" s="253" t="s">
        <v>263</v>
      </c>
      <c r="L14" s="82" t="s">
        <v>264</v>
      </c>
      <c r="M14" s="66" t="s">
        <v>10</v>
      </c>
      <c r="N14" s="82">
        <v>100</v>
      </c>
      <c r="V14" s="98" t="s">
        <v>265</v>
      </c>
      <c r="W14" s="298">
        <f>(B16*100)/B15^2</f>
        <v>5.040957781978576</v>
      </c>
      <c r="X14" s="298"/>
      <c r="Y14" s="46" t="s">
        <v>53</v>
      </c>
      <c r="Z14" s="46"/>
      <c r="AA14" s="46"/>
      <c r="AB14" s="46"/>
      <c r="AC14" s="262" t="s">
        <v>262</v>
      </c>
      <c r="AD14" s="240" t="s">
        <v>300</v>
      </c>
      <c r="AE14" s="240"/>
      <c r="AF14" s="240"/>
      <c r="AG14" s="253" t="s">
        <v>7</v>
      </c>
      <c r="AH14" s="82">
        <f>AD6</f>
        <v>0.16799</v>
      </c>
      <c r="AI14" s="92" t="s">
        <v>10</v>
      </c>
      <c r="AJ14" s="82">
        <f>AD10</f>
        <v>1200</v>
      </c>
      <c r="AK14" s="92" t="s">
        <v>10</v>
      </c>
      <c r="AL14" s="82">
        <v>100</v>
      </c>
      <c r="AM14" s="48"/>
      <c r="AN14" s="296" t="s">
        <v>262</v>
      </c>
      <c r="AO14" s="240" t="s">
        <v>300</v>
      </c>
      <c r="AP14" s="240"/>
      <c r="AQ14" s="240"/>
      <c r="AR14" s="253" t="s">
        <v>7</v>
      </c>
      <c r="AS14" s="82">
        <f>AO6</f>
        <v>0.191226</v>
      </c>
      <c r="AT14" s="92" t="s">
        <v>10</v>
      </c>
      <c r="AU14" s="82">
        <f>AO10</f>
        <v>1200</v>
      </c>
      <c r="AV14" s="92" t="s">
        <v>10</v>
      </c>
      <c r="AW14" s="82">
        <v>100</v>
      </c>
      <c r="AX14" s="86"/>
      <c r="AZ14" s="134" t="s">
        <v>429</v>
      </c>
      <c r="BA14" s="238">
        <f>BA12*BE12</f>
        <v>5558.6639270430005</v>
      </c>
      <c r="BB14" s="238"/>
      <c r="BC14" s="238"/>
      <c r="BD14" s="242" t="s">
        <v>136</v>
      </c>
      <c r="BE14" s="242"/>
      <c r="BL14" s="135" t="s">
        <v>430</v>
      </c>
      <c r="BM14" s="245">
        <f>BM12*BQ12</f>
        <v>331.97640478403486</v>
      </c>
      <c r="BN14" s="245"/>
      <c r="BO14" s="245"/>
      <c r="BP14" s="237" t="s">
        <v>136</v>
      </c>
      <c r="BQ14" s="237"/>
      <c r="BR14" s="48"/>
      <c r="BS14" s="48"/>
      <c r="BT14" s="48"/>
    </row>
    <row r="15" spans="1:64" ht="13.5" customHeight="1">
      <c r="A15" s="130" t="s">
        <v>303</v>
      </c>
      <c r="B15" s="315">
        <v>34.5</v>
      </c>
      <c r="C15" s="316"/>
      <c r="D15" s="99" t="s">
        <v>38</v>
      </c>
      <c r="K15" s="253"/>
      <c r="L15" s="257" t="s">
        <v>258</v>
      </c>
      <c r="M15" s="257"/>
      <c r="N15" s="257"/>
      <c r="W15" s="46"/>
      <c r="X15" s="46"/>
      <c r="Y15" s="46"/>
      <c r="Z15" s="46"/>
      <c r="AA15" s="46"/>
      <c r="AB15" s="46"/>
      <c r="AC15" s="262"/>
      <c r="AD15" s="248" t="s">
        <v>258</v>
      </c>
      <c r="AE15" s="248"/>
      <c r="AF15" s="248"/>
      <c r="AG15" s="253"/>
      <c r="AH15" s="79"/>
      <c r="AI15" s="79"/>
      <c r="AJ15" s="79">
        <f>B15</f>
        <v>34.5</v>
      </c>
      <c r="AK15" s="80">
        <v>2</v>
      </c>
      <c r="AL15" s="79"/>
      <c r="AM15" s="48"/>
      <c r="AN15" s="296"/>
      <c r="AO15" s="248" t="s">
        <v>258</v>
      </c>
      <c r="AP15" s="248"/>
      <c r="AQ15" s="248"/>
      <c r="AR15" s="253"/>
      <c r="AS15" s="79"/>
      <c r="AT15" s="79"/>
      <c r="AU15" s="79">
        <f>B15</f>
        <v>34.5</v>
      </c>
      <c r="AV15" s="80">
        <v>2</v>
      </c>
      <c r="AW15" s="79"/>
      <c r="AX15" s="86"/>
      <c r="BL15" s="62"/>
    </row>
    <row r="16" spans="1:71" ht="10.5" customHeight="1">
      <c r="A16" s="131" t="s">
        <v>304</v>
      </c>
      <c r="B16" s="257">
        <f>VLOOKUP(E14,TGK!P9:Q10,2,2)</f>
        <v>60</v>
      </c>
      <c r="C16" s="257"/>
      <c r="D16" s="109" t="s">
        <v>359</v>
      </c>
      <c r="K16" s="253" t="s">
        <v>263</v>
      </c>
      <c r="L16" s="82">
        <f>B16</f>
        <v>60</v>
      </c>
      <c r="M16" s="66" t="s">
        <v>10</v>
      </c>
      <c r="N16" s="82">
        <v>100</v>
      </c>
      <c r="T16" s="248" t="s">
        <v>47</v>
      </c>
      <c r="U16" s="248"/>
      <c r="V16" s="98" t="s">
        <v>268</v>
      </c>
      <c r="W16" s="298">
        <f>((L22/1000)*B25*100)/(B15^2)</f>
        <v>0.11747246376811596</v>
      </c>
      <c r="X16" s="298"/>
      <c r="Y16" s="46" t="s">
        <v>53</v>
      </c>
      <c r="Z16" s="46"/>
      <c r="AA16" s="46"/>
      <c r="AB16" s="46"/>
      <c r="AC16" s="98" t="s">
        <v>266</v>
      </c>
      <c r="AD16" s="84">
        <f>AE9</f>
        <v>4</v>
      </c>
      <c r="AE16" s="49" t="s">
        <v>310</v>
      </c>
      <c r="AG16" s="98" t="s">
        <v>266</v>
      </c>
      <c r="AH16" s="84">
        <f>AE9</f>
        <v>4</v>
      </c>
      <c r="AI16" s="92" t="s">
        <v>10</v>
      </c>
      <c r="AJ16" s="94">
        <f>W35</f>
        <v>0.016936609955891618</v>
      </c>
      <c r="AM16" s="48"/>
      <c r="AN16" s="52" t="s">
        <v>266</v>
      </c>
      <c r="AO16" s="84">
        <f>AP9</f>
        <v>4</v>
      </c>
      <c r="AP16" s="49" t="s">
        <v>310</v>
      </c>
      <c r="AR16" s="98" t="s">
        <v>266</v>
      </c>
      <c r="AS16" s="84">
        <f>AP9</f>
        <v>4</v>
      </c>
      <c r="AT16" s="92" t="s">
        <v>10</v>
      </c>
      <c r="AU16" s="94">
        <f>Y35</f>
        <v>0.0192792438563327</v>
      </c>
      <c r="AZ16" s="242" t="s">
        <v>137</v>
      </c>
      <c r="BA16" s="242"/>
      <c r="BB16" s="242"/>
      <c r="BC16" s="242"/>
      <c r="BD16" s="242"/>
      <c r="BE16" s="242"/>
      <c r="BF16" s="242"/>
      <c r="BG16" s="242"/>
      <c r="BL16" s="236" t="s">
        <v>137</v>
      </c>
      <c r="BM16" s="237"/>
      <c r="BN16" s="237"/>
      <c r="BO16" s="237"/>
      <c r="BP16" s="237"/>
      <c r="BQ16" s="237"/>
      <c r="BR16" s="237"/>
      <c r="BS16" s="237"/>
    </row>
    <row r="17" spans="11:70" ht="12" customHeight="1">
      <c r="K17" s="253"/>
      <c r="L17" s="79">
        <f>B15</f>
        <v>34.5</v>
      </c>
      <c r="M17" s="80">
        <v>2</v>
      </c>
      <c r="N17" s="79"/>
      <c r="V17" s="98" t="s">
        <v>269</v>
      </c>
      <c r="W17" s="298">
        <f>W16</f>
        <v>0.11747246376811596</v>
      </c>
      <c r="X17" s="298"/>
      <c r="Y17" s="46" t="s">
        <v>53</v>
      </c>
      <c r="Z17" s="46"/>
      <c r="AA17" s="46"/>
      <c r="AB17" s="46"/>
      <c r="AC17" s="295" t="s">
        <v>126</v>
      </c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Z17" s="87" t="s">
        <v>132</v>
      </c>
      <c r="BA17" s="302">
        <f>W6+W19+W25+W31+W37+W41+W45</f>
        <v>0.06085143905585011</v>
      </c>
      <c r="BB17" s="302"/>
      <c r="BC17" s="302"/>
      <c r="BD17" s="90" t="s">
        <v>133</v>
      </c>
      <c r="BE17" s="45" t="s">
        <v>134</v>
      </c>
      <c r="BF17" s="303">
        <f>W3+W11+W16+W22+W28+W35+W39+W43+W49</f>
        <v>6.294843842354342</v>
      </c>
      <c r="BG17" s="251"/>
      <c r="BL17" s="255" t="s">
        <v>140</v>
      </c>
      <c r="BM17" s="60" t="s">
        <v>270</v>
      </c>
      <c r="BN17" s="253" t="s">
        <v>7</v>
      </c>
      <c r="BO17" s="46">
        <f>W51</f>
        <v>6</v>
      </c>
      <c r="BP17" s="253" t="s">
        <v>7</v>
      </c>
      <c r="BQ17" s="253">
        <f>BO17/BO18</f>
        <v>0.9528644208685593</v>
      </c>
      <c r="BR17" s="253"/>
    </row>
    <row r="18" spans="22:70" ht="12.75" customHeight="1">
      <c r="V18" s="98" t="s">
        <v>272</v>
      </c>
      <c r="W18" s="298">
        <f>C27*W16</f>
        <v>0.3406701449275363</v>
      </c>
      <c r="X18" s="298"/>
      <c r="Y18" s="46" t="s">
        <v>53</v>
      </c>
      <c r="Z18" s="46"/>
      <c r="AA18" s="46"/>
      <c r="AB18" s="46"/>
      <c r="AC18" s="248" t="s">
        <v>116</v>
      </c>
      <c r="AD18" s="248"/>
      <c r="AE18" s="248"/>
      <c r="AF18" s="248"/>
      <c r="AG18" s="248"/>
      <c r="AH18" s="248"/>
      <c r="AI18" s="248"/>
      <c r="AJ18" s="248"/>
      <c r="AK18" s="248"/>
      <c r="AL18" s="248"/>
      <c r="AN18" s="268" t="s">
        <v>117</v>
      </c>
      <c r="AO18" s="241"/>
      <c r="AP18" s="241"/>
      <c r="AQ18" s="241"/>
      <c r="AR18" s="241"/>
      <c r="AS18" s="241"/>
      <c r="AT18" s="241"/>
      <c r="AU18" s="241"/>
      <c r="AV18" s="241"/>
      <c r="AW18" s="241"/>
      <c r="AX18" s="86"/>
      <c r="AZ18" s="87"/>
      <c r="BL18" s="255"/>
      <c r="BM18" s="48" t="s">
        <v>273</v>
      </c>
      <c r="BN18" s="253"/>
      <c r="BO18" s="67">
        <f>SQRT(BM19^2+BR19^2)</f>
        <v>6.296803478642694</v>
      </c>
      <c r="BP18" s="253"/>
      <c r="BQ18" s="253"/>
      <c r="BR18" s="253"/>
    </row>
    <row r="19" spans="1:71" ht="11.25" customHeight="1">
      <c r="A19" s="295" t="s">
        <v>84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V19" s="98" t="s">
        <v>274</v>
      </c>
      <c r="W19" s="298">
        <f>(B24*(L22/1000)*100)/B15^2</f>
        <v>0.04598805293005671</v>
      </c>
      <c r="X19" s="298"/>
      <c r="Y19" s="46" t="s">
        <v>53</v>
      </c>
      <c r="Z19" s="46"/>
      <c r="AA19" s="46"/>
      <c r="AB19" s="46"/>
      <c r="AC19" s="278" t="s">
        <v>88</v>
      </c>
      <c r="AD19" s="278"/>
      <c r="AE19" s="278"/>
      <c r="AF19" s="297"/>
      <c r="AG19" s="275" t="s">
        <v>95</v>
      </c>
      <c r="AH19" s="275"/>
      <c r="AI19" s="275"/>
      <c r="AJ19" s="275"/>
      <c r="AN19" s="319" t="s">
        <v>88</v>
      </c>
      <c r="AO19" s="294"/>
      <c r="AP19" s="294"/>
      <c r="AQ19" s="297"/>
      <c r="AR19" s="275" t="s">
        <v>100</v>
      </c>
      <c r="AS19" s="275"/>
      <c r="AT19" s="275"/>
      <c r="AU19" s="275"/>
      <c r="AV19" s="48"/>
      <c r="AW19" s="48"/>
      <c r="AX19" s="48"/>
      <c r="AZ19" s="324" t="s">
        <v>235</v>
      </c>
      <c r="BA19" s="240" t="s">
        <v>220</v>
      </c>
      <c r="BB19" s="240"/>
      <c r="BC19" s="240"/>
      <c r="BD19" s="240"/>
      <c r="BE19" s="239" t="s">
        <v>7</v>
      </c>
      <c r="BF19" s="281">
        <f>(R2*10^3)/(BA20*BC20)</f>
        <v>144337.56729740644</v>
      </c>
      <c r="BG19" s="281"/>
      <c r="BL19" s="88" t="s">
        <v>275</v>
      </c>
      <c r="BM19" s="302">
        <f>W6+W19+W25+W31+Y37+Y41+Y45</f>
        <v>0.07588189484244956</v>
      </c>
      <c r="BN19" s="302"/>
      <c r="BO19" s="302"/>
      <c r="BP19" s="90" t="s">
        <v>133</v>
      </c>
      <c r="BQ19" s="45" t="s">
        <v>134</v>
      </c>
      <c r="BR19" s="303">
        <f>W3+W11+W16+W22+W28+Y35+Y39+Y43+W49</f>
        <v>6.296346241010087</v>
      </c>
      <c r="BS19" s="251"/>
    </row>
    <row r="20" spans="1:73" ht="12.75" customHeight="1">
      <c r="A20" s="310" t="s">
        <v>82</v>
      </c>
      <c r="B20" s="310"/>
      <c r="C20" s="310"/>
      <c r="D20" s="97"/>
      <c r="E20" s="311" t="s">
        <v>76</v>
      </c>
      <c r="F20" s="311"/>
      <c r="G20" s="311"/>
      <c r="H20" s="311"/>
      <c r="I20" s="311"/>
      <c r="J20" s="311"/>
      <c r="K20" s="311"/>
      <c r="L20" s="311"/>
      <c r="M20" s="311"/>
      <c r="V20" s="98" t="s">
        <v>276</v>
      </c>
      <c r="W20" s="298">
        <f>W19</f>
        <v>0.04598805293005671</v>
      </c>
      <c r="X20" s="298"/>
      <c r="Y20" s="46" t="s">
        <v>53</v>
      </c>
      <c r="Z20" s="46"/>
      <c r="AA20" s="46"/>
      <c r="AB20" s="46"/>
      <c r="AC20" s="278" t="s">
        <v>87</v>
      </c>
      <c r="AD20" s="278"/>
      <c r="AE20" s="278"/>
      <c r="AF20" s="297"/>
      <c r="AG20" s="275" t="s">
        <v>115</v>
      </c>
      <c r="AH20" s="275"/>
      <c r="AI20" s="275"/>
      <c r="AJ20" s="275"/>
      <c r="AN20" s="319" t="s">
        <v>87</v>
      </c>
      <c r="AO20" s="294"/>
      <c r="AP20" s="294"/>
      <c r="AQ20" s="297"/>
      <c r="AR20" s="275" t="s">
        <v>115</v>
      </c>
      <c r="AS20" s="275"/>
      <c r="AT20" s="275"/>
      <c r="AU20" s="275"/>
      <c r="AV20" s="48"/>
      <c r="AW20" s="48"/>
      <c r="AX20" s="48"/>
      <c r="AZ20" s="324"/>
      <c r="BA20" s="56">
        <f>SQRT(3)</f>
        <v>1.7320508075688772</v>
      </c>
      <c r="BB20" s="57" t="s">
        <v>10</v>
      </c>
      <c r="BC20" s="241">
        <v>0.4</v>
      </c>
      <c r="BD20" s="241"/>
      <c r="BE20" s="239"/>
      <c r="BF20" s="281"/>
      <c r="BG20" s="281"/>
      <c r="BL20" s="88" t="s">
        <v>277</v>
      </c>
      <c r="BM20" s="302">
        <f>W8+W21+W27+W33+Y38+Y42+Y46+W14</f>
        <v>5.3453261292469865</v>
      </c>
      <c r="BN20" s="302"/>
      <c r="BO20" s="302"/>
      <c r="BP20" s="90" t="s">
        <v>133</v>
      </c>
      <c r="BQ20" s="45" t="s">
        <v>134</v>
      </c>
      <c r="BR20" s="303">
        <f>W4+W12+W18+W24+W30+Y36+Y40+Y44+W51</f>
        <v>6.640182404305408</v>
      </c>
      <c r="BS20" s="251"/>
      <c r="BU20" s="300"/>
    </row>
    <row r="21" spans="1:73" ht="12.75" customHeight="1">
      <c r="A21" s="87"/>
      <c r="B21" s="87"/>
      <c r="C21" s="87"/>
      <c r="D21" s="87"/>
      <c r="E21" s="86"/>
      <c r="F21" s="86"/>
      <c r="G21" s="86"/>
      <c r="H21" s="86"/>
      <c r="I21" s="86"/>
      <c r="J21" s="86"/>
      <c r="K21" s="86"/>
      <c r="L21" s="86"/>
      <c r="M21" s="86"/>
      <c r="V21" s="98" t="s">
        <v>278</v>
      </c>
      <c r="W21" s="298">
        <f>((B24+0.15)*(L22/1000)*100)/B15^2</f>
        <v>0.09740582230623818</v>
      </c>
      <c r="X21" s="298"/>
      <c r="Y21" s="46" t="s">
        <v>53</v>
      </c>
      <c r="Z21" s="46"/>
      <c r="AA21" s="46"/>
      <c r="AB21" s="46"/>
      <c r="AC21" s="98" t="s">
        <v>70</v>
      </c>
      <c r="AD21" s="248">
        <f>VLOOKUP(AG19,TGK!W2:X24,2,0)</f>
        <v>0.124</v>
      </c>
      <c r="AE21" s="248"/>
      <c r="AF21" s="109" t="s">
        <v>61</v>
      </c>
      <c r="AM21" s="48"/>
      <c r="AN21" s="52" t="s">
        <v>70</v>
      </c>
      <c r="AO21" s="241">
        <f>VLOOKUP(AR19,TGK!W2:Y24,3,0)</f>
        <v>0.0468</v>
      </c>
      <c r="AP21" s="241"/>
      <c r="AQ21" s="109" t="s">
        <v>61</v>
      </c>
      <c r="AR21" s="48"/>
      <c r="AS21" s="48"/>
      <c r="AT21" s="48"/>
      <c r="AU21" s="48"/>
      <c r="AV21" s="48"/>
      <c r="AW21" s="48"/>
      <c r="AX21" s="48"/>
      <c r="AY21" s="48"/>
      <c r="AZ21" s="98"/>
      <c r="BL21" s="62"/>
      <c r="BM21" s="48"/>
      <c r="BU21" s="300"/>
    </row>
    <row r="22" spans="1:70" ht="12.75" customHeight="1">
      <c r="A22" s="274" t="s">
        <v>56</v>
      </c>
      <c r="B22" s="274"/>
      <c r="C22" s="274"/>
      <c r="D22" s="274"/>
      <c r="E22" s="274"/>
      <c r="F22" s="312" t="s">
        <v>213</v>
      </c>
      <c r="G22" s="313"/>
      <c r="H22" s="86"/>
      <c r="I22" s="86"/>
      <c r="J22" s="86"/>
      <c r="K22" s="126" t="s">
        <v>73</v>
      </c>
      <c r="L22" s="265">
        <v>4080</v>
      </c>
      <c r="M22" s="273"/>
      <c r="N22" s="266"/>
      <c r="O22" s="243" t="s">
        <v>74</v>
      </c>
      <c r="P22" s="251"/>
      <c r="T22" s="248" t="s">
        <v>48</v>
      </c>
      <c r="U22" s="248"/>
      <c r="V22" s="98" t="s">
        <v>268</v>
      </c>
      <c r="W22" s="298">
        <f>(B38*(L35/1000)*100)/B15^2</f>
        <v>0</v>
      </c>
      <c r="X22" s="298"/>
      <c r="Y22" s="46" t="s">
        <v>53</v>
      </c>
      <c r="Z22" s="46"/>
      <c r="AA22" s="46"/>
      <c r="AB22" s="46"/>
      <c r="AC22" s="98" t="s">
        <v>71</v>
      </c>
      <c r="AD22" s="248">
        <f>INDEX(TGK!Z1:AB24,MATCH(KISADEVRE_PU!AG19,TGK!Z1:Z24,0),MATCH(KISADEVRE_PU!AG20,TGK!Z1:AB1,0))</f>
        <v>0.179608</v>
      </c>
      <c r="AE22" s="248"/>
      <c r="AF22" s="109" t="s">
        <v>61</v>
      </c>
      <c r="AM22" s="48"/>
      <c r="AN22" s="52" t="s">
        <v>71</v>
      </c>
      <c r="AO22" s="241">
        <f>INDEX(TGK!Z1:AB24,MATCH(KISADEVRE_PU!AR19,TGK!Z1:Z24,0),MATCH(KISADEVRE_PU!AR20,TGK!Z1:AB1,0))</f>
        <v>0.151034</v>
      </c>
      <c r="AP22" s="241"/>
      <c r="AQ22" s="109" t="s">
        <v>61</v>
      </c>
      <c r="AR22" s="48"/>
      <c r="AS22" s="48"/>
      <c r="AT22" s="48"/>
      <c r="AU22" s="48"/>
      <c r="AV22" s="48"/>
      <c r="AW22" s="48"/>
      <c r="AX22" s="48"/>
      <c r="AY22" s="48"/>
      <c r="AZ22" s="321" t="s">
        <v>246</v>
      </c>
      <c r="BA22" s="60" t="s">
        <v>247</v>
      </c>
      <c r="BB22" s="253" t="s">
        <v>7</v>
      </c>
      <c r="BC22" s="240">
        <v>1</v>
      </c>
      <c r="BD22" s="240"/>
      <c r="BE22" s="239" t="s">
        <v>7</v>
      </c>
      <c r="BF22" s="301">
        <f>BC22/BC23</f>
        <v>0.15885275379756927</v>
      </c>
      <c r="BG22" s="301"/>
      <c r="BL22" s="299" t="s">
        <v>248</v>
      </c>
      <c r="BM22" s="300" t="s">
        <v>271</v>
      </c>
      <c r="BN22" s="267" t="s">
        <v>10</v>
      </c>
      <c r="BO22" s="240">
        <v>3</v>
      </c>
      <c r="BP22" s="240"/>
      <c r="BQ22" s="240"/>
      <c r="BR22"/>
    </row>
    <row r="23" spans="22:70" ht="12.75" customHeight="1">
      <c r="V23" s="98" t="s">
        <v>269</v>
      </c>
      <c r="W23" s="298">
        <f>W22</f>
        <v>0</v>
      </c>
      <c r="X23" s="298"/>
      <c r="Y23" s="46" t="s">
        <v>53</v>
      </c>
      <c r="Z23" s="46"/>
      <c r="AA23" s="46"/>
      <c r="AB23" s="46"/>
      <c r="AC23" s="278" t="s">
        <v>118</v>
      </c>
      <c r="AD23" s="278"/>
      <c r="AE23" s="278"/>
      <c r="AF23" s="278"/>
      <c r="AG23" s="275" t="s">
        <v>124</v>
      </c>
      <c r="AH23" s="275"/>
      <c r="AI23" s="275"/>
      <c r="AJ23" s="275"/>
      <c r="AK23" s="275"/>
      <c r="AM23" s="48"/>
      <c r="AN23" s="319" t="s">
        <v>118</v>
      </c>
      <c r="AO23" s="294"/>
      <c r="AP23" s="294"/>
      <c r="AQ23" s="294"/>
      <c r="AR23" s="275" t="s">
        <v>124</v>
      </c>
      <c r="AS23" s="275"/>
      <c r="AT23" s="275"/>
      <c r="AU23" s="275"/>
      <c r="AV23" s="275"/>
      <c r="AW23" s="48"/>
      <c r="AX23" s="48"/>
      <c r="AY23" s="48"/>
      <c r="AZ23" s="321"/>
      <c r="BA23" s="45" t="s">
        <v>253</v>
      </c>
      <c r="BB23" s="253"/>
      <c r="BC23" s="241">
        <f>SQRT(BA17^2+BF17^2)</f>
        <v>6.2951379569681825</v>
      </c>
      <c r="BD23" s="241"/>
      <c r="BE23" s="239"/>
      <c r="BF23" s="301"/>
      <c r="BG23" s="301"/>
      <c r="BL23" s="299"/>
      <c r="BM23" s="300"/>
      <c r="BN23" s="253"/>
      <c r="BO23" s="257" t="s">
        <v>488</v>
      </c>
      <c r="BP23" s="257"/>
      <c r="BQ23" s="257"/>
      <c r="BR23"/>
    </row>
    <row r="24" spans="1:70" ht="12.75" customHeight="1">
      <c r="A24" s="87" t="s">
        <v>305</v>
      </c>
      <c r="B24" s="248">
        <f>VLOOKUP(F22,TGK!L3:N27,2,0)</f>
        <v>0.13416</v>
      </c>
      <c r="C24" s="248"/>
      <c r="D24" s="109" t="s">
        <v>61</v>
      </c>
      <c r="F24" s="253" t="s">
        <v>279</v>
      </c>
      <c r="G24" s="240" t="s">
        <v>280</v>
      </c>
      <c r="H24" s="240"/>
      <c r="I24" s="240"/>
      <c r="J24" s="240"/>
      <c r="K24" s="253" t="s">
        <v>7</v>
      </c>
      <c r="L24" s="84">
        <f>L22</f>
        <v>4080</v>
      </c>
      <c r="M24" s="92" t="s">
        <v>10</v>
      </c>
      <c r="N24" s="91">
        <f>B24</f>
        <v>0.13416</v>
      </c>
      <c r="O24" s="92" t="s">
        <v>10</v>
      </c>
      <c r="P24" s="84">
        <v>100</v>
      </c>
      <c r="Q24" s="248"/>
      <c r="R24" s="248"/>
      <c r="V24" s="98" t="s">
        <v>272</v>
      </c>
      <c r="W24" s="298">
        <f>C40*W22</f>
        <v>0</v>
      </c>
      <c r="X24" s="298"/>
      <c r="Y24" s="46" t="s">
        <v>53</v>
      </c>
      <c r="Z24" s="46"/>
      <c r="AA24" s="46"/>
      <c r="AB24" s="46"/>
      <c r="AC24" s="248" t="s">
        <v>239</v>
      </c>
      <c r="AD24" s="248"/>
      <c r="AE24" s="87">
        <f>VLOOKUP(AG23,TGK!AD1:AF3,2,0)</f>
        <v>3</v>
      </c>
      <c r="AM24" s="48"/>
      <c r="AN24" s="268" t="s">
        <v>239</v>
      </c>
      <c r="AO24" s="241"/>
      <c r="AP24" s="99">
        <f>VLOOKUP(AR23,TGK!AD1:AF3,2,0)</f>
        <v>3</v>
      </c>
      <c r="AQ24" s="48"/>
      <c r="AR24" s="48"/>
      <c r="AS24" s="48"/>
      <c r="AT24" s="48"/>
      <c r="AU24" s="48"/>
      <c r="AV24" s="48"/>
      <c r="AW24" s="48"/>
      <c r="AX24" s="48"/>
      <c r="AY24" s="48"/>
      <c r="BL24" s="103"/>
      <c r="BM24" s="7"/>
      <c r="BN24"/>
      <c r="BO24"/>
      <c r="BP24"/>
      <c r="BQ24"/>
      <c r="BR24"/>
    </row>
    <row r="25" spans="1:70" ht="15.75" customHeight="1">
      <c r="A25" s="87" t="s">
        <v>308</v>
      </c>
      <c r="B25" s="248">
        <f>VLOOKUP(F22,TGK!L3:N27,3,0)</f>
        <v>0.3427</v>
      </c>
      <c r="C25" s="248"/>
      <c r="D25" s="109" t="s">
        <v>61</v>
      </c>
      <c r="F25" s="253"/>
      <c r="G25" s="248" t="s">
        <v>258</v>
      </c>
      <c r="H25" s="248"/>
      <c r="I25" s="248"/>
      <c r="J25" s="248"/>
      <c r="K25" s="253"/>
      <c r="L25" s="79"/>
      <c r="M25" s="79"/>
      <c r="N25" s="79">
        <f>B15</f>
        <v>34.5</v>
      </c>
      <c r="O25" s="80">
        <v>2</v>
      </c>
      <c r="P25" s="79"/>
      <c r="V25" s="98" t="s">
        <v>274</v>
      </c>
      <c r="W25" s="298">
        <f>(B37*(L35/1000)*100)/B15^2</f>
        <v>0</v>
      </c>
      <c r="X25" s="298"/>
      <c r="Y25" s="46" t="s">
        <v>53</v>
      </c>
      <c r="Z25" s="46"/>
      <c r="AA25" s="46"/>
      <c r="AB25" s="46"/>
      <c r="AC25" s="248" t="s">
        <v>245</v>
      </c>
      <c r="AD25" s="248"/>
      <c r="AE25" s="87">
        <f>VLOOKUP(AG23,TGK!AD1:AF3,3,0)</f>
        <v>7</v>
      </c>
      <c r="AM25" s="48"/>
      <c r="AN25" s="268" t="s">
        <v>245</v>
      </c>
      <c r="AO25" s="241"/>
      <c r="AP25" s="99">
        <f>VLOOKUP(AR23,TGK!AD1:AF3,3,0)</f>
        <v>7</v>
      </c>
      <c r="AQ25" s="48"/>
      <c r="AR25" s="48"/>
      <c r="AS25" s="48"/>
      <c r="AT25" s="48"/>
      <c r="AU25" s="48"/>
      <c r="AV25" s="48"/>
      <c r="AW25" s="48"/>
      <c r="AX25" s="48"/>
      <c r="AY25" s="48"/>
      <c r="AZ25" s="63" t="s">
        <v>246</v>
      </c>
      <c r="BA25" s="289">
        <f>BF19</f>
        <v>144337.56729740644</v>
      </c>
      <c r="BB25" s="248"/>
      <c r="BC25" s="248"/>
      <c r="BD25" s="92" t="s">
        <v>10</v>
      </c>
      <c r="BE25" s="248">
        <f>BF22</f>
        <v>0.15885275379756927</v>
      </c>
      <c r="BF25" s="248"/>
      <c r="BL25" s="299" t="s">
        <v>248</v>
      </c>
      <c r="BM25" s="300">
        <f>BA27/1000</f>
        <v>22.928420041634993</v>
      </c>
      <c r="BN25" s="267" t="s">
        <v>10</v>
      </c>
      <c r="BO25" s="240">
        <v>3</v>
      </c>
      <c r="BP25" s="240"/>
      <c r="BQ25" s="240"/>
      <c r="BR25"/>
    </row>
    <row r="26" spans="1:70" ht="12" customHeight="1">
      <c r="A26" s="87" t="s">
        <v>306</v>
      </c>
      <c r="B26" s="248" t="s">
        <v>75</v>
      </c>
      <c r="C26" s="248"/>
      <c r="D26" s="109" t="s">
        <v>61</v>
      </c>
      <c r="F26" s="253" t="s">
        <v>282</v>
      </c>
      <c r="G26" s="240" t="s">
        <v>283</v>
      </c>
      <c r="H26" s="240"/>
      <c r="I26" s="240"/>
      <c r="J26" s="240"/>
      <c r="K26" s="253" t="s">
        <v>7</v>
      </c>
      <c r="L26" s="84">
        <f>L22</f>
        <v>4080</v>
      </c>
      <c r="M26" s="92" t="s">
        <v>10</v>
      </c>
      <c r="N26" s="84">
        <f>B24+0.15</f>
        <v>0.28415999999999997</v>
      </c>
      <c r="O26" s="92" t="s">
        <v>10</v>
      </c>
      <c r="P26" s="84">
        <v>100</v>
      </c>
      <c r="V26" s="98" t="s">
        <v>276</v>
      </c>
      <c r="W26" s="298">
        <f>W25</f>
        <v>0</v>
      </c>
      <c r="X26" s="298"/>
      <c r="Y26" s="46" t="s">
        <v>53</v>
      </c>
      <c r="Z26" s="46"/>
      <c r="AA26" s="46"/>
      <c r="AB26" s="46"/>
      <c r="AC26" s="129" t="s">
        <v>73</v>
      </c>
      <c r="AD26" s="85">
        <v>350</v>
      </c>
      <c r="AE26" s="45" t="s">
        <v>74</v>
      </c>
      <c r="AM26" s="48"/>
      <c r="AN26" s="127" t="s">
        <v>73</v>
      </c>
      <c r="AO26" s="85">
        <v>350</v>
      </c>
      <c r="AP26" s="45" t="s">
        <v>74</v>
      </c>
      <c r="AQ26" s="48"/>
      <c r="AY26" s="48"/>
      <c r="AZ26" s="63"/>
      <c r="BL26" s="299"/>
      <c r="BM26" s="300"/>
      <c r="BN26" s="253"/>
      <c r="BO26" s="79">
        <f>BQ17</f>
        <v>0.9528644208685593</v>
      </c>
      <c r="BP26" s="192" t="s">
        <v>133</v>
      </c>
      <c r="BQ26" s="79">
        <v>2</v>
      </c>
      <c r="BR26"/>
    </row>
    <row r="27" spans="1:73" ht="16.5" customHeight="1">
      <c r="A27" s="244" t="s">
        <v>307</v>
      </c>
      <c r="B27" s="244"/>
      <c r="C27" s="69">
        <f>VLOOKUP(E20,TGK!T2:U7,2,0)</f>
        <v>2.9</v>
      </c>
      <c r="D27" s="69"/>
      <c r="F27" s="253"/>
      <c r="G27" s="248" t="s">
        <v>258</v>
      </c>
      <c r="H27" s="248"/>
      <c r="I27" s="248"/>
      <c r="J27" s="248"/>
      <c r="K27" s="253"/>
      <c r="L27" s="79"/>
      <c r="M27" s="79"/>
      <c r="N27" s="79">
        <f>B15</f>
        <v>34.5</v>
      </c>
      <c r="O27" s="80">
        <v>2</v>
      </c>
      <c r="P27" s="79"/>
      <c r="V27" s="98" t="s">
        <v>278</v>
      </c>
      <c r="W27" s="298">
        <f>((B37+0.15)*(L35/1000)*100)/B15^2</f>
        <v>0</v>
      </c>
      <c r="X27" s="298"/>
      <c r="Y27" s="46" t="s">
        <v>53</v>
      </c>
      <c r="Z27" s="46"/>
      <c r="AA27" s="46"/>
      <c r="AB27" s="46"/>
      <c r="AC27" s="262" t="s">
        <v>252</v>
      </c>
      <c r="AD27" s="240" t="s">
        <v>299</v>
      </c>
      <c r="AE27" s="240"/>
      <c r="AF27" s="240"/>
      <c r="AG27" s="253" t="s">
        <v>7</v>
      </c>
      <c r="AH27" s="82">
        <f>AD21</f>
        <v>0.124</v>
      </c>
      <c r="AI27" s="92" t="s">
        <v>10</v>
      </c>
      <c r="AJ27" s="82">
        <f>AD26</f>
        <v>350</v>
      </c>
      <c r="AK27" s="92" t="s">
        <v>10</v>
      </c>
      <c r="AL27" s="82">
        <v>100</v>
      </c>
      <c r="AM27" s="48"/>
      <c r="AN27" s="296" t="s">
        <v>252</v>
      </c>
      <c r="AO27" s="240" t="s">
        <v>299</v>
      </c>
      <c r="AP27" s="240"/>
      <c r="AQ27" s="240"/>
      <c r="AR27" s="253" t="s">
        <v>7</v>
      </c>
      <c r="AS27" s="82">
        <f>AO21</f>
        <v>0.0468</v>
      </c>
      <c r="AT27" s="92" t="s">
        <v>10</v>
      </c>
      <c r="AU27" s="82">
        <f>AO26</f>
        <v>350</v>
      </c>
      <c r="AV27" s="92" t="s">
        <v>10</v>
      </c>
      <c r="AW27" s="82">
        <v>100</v>
      </c>
      <c r="AX27" s="86"/>
      <c r="AY27" s="48"/>
      <c r="AZ27" s="134" t="s">
        <v>429</v>
      </c>
      <c r="BA27" s="283">
        <f>BA25*BE25</f>
        <v>22928.420041634992</v>
      </c>
      <c r="BB27" s="283"/>
      <c r="BC27" s="283"/>
      <c r="BD27" s="242" t="s">
        <v>136</v>
      </c>
      <c r="BE27" s="242"/>
      <c r="BF27" s="251" t="s">
        <v>138</v>
      </c>
      <c r="BG27" s="251"/>
      <c r="BH27" s="251"/>
      <c r="BI27" s="251"/>
      <c r="BJ27" s="251"/>
      <c r="BK27" s="251"/>
      <c r="BL27" s="135" t="s">
        <v>430</v>
      </c>
      <c r="BM27" s="326">
        <f>BM25*(3/(2+BQ17))</f>
        <v>23.2944186799719</v>
      </c>
      <c r="BN27" s="326"/>
      <c r="BO27" s="194" t="s">
        <v>367</v>
      </c>
      <c r="BP27"/>
      <c r="BQ27"/>
      <c r="BR27"/>
      <c r="BS27"/>
      <c r="BT27"/>
      <c r="BU27"/>
    </row>
    <row r="28" spans="1:70" ht="12.75" customHeight="1">
      <c r="A28" s="251" t="s">
        <v>284</v>
      </c>
      <c r="B28" s="251"/>
      <c r="F28" s="253" t="s">
        <v>285</v>
      </c>
      <c r="G28" s="240" t="s">
        <v>286</v>
      </c>
      <c r="H28" s="240"/>
      <c r="I28" s="240"/>
      <c r="J28" s="240"/>
      <c r="K28" s="253" t="s">
        <v>7</v>
      </c>
      <c r="L28" s="84">
        <f>L22</f>
        <v>4080</v>
      </c>
      <c r="M28" s="92" t="s">
        <v>10</v>
      </c>
      <c r="N28" s="84">
        <f>B25</f>
        <v>0.3427</v>
      </c>
      <c r="O28" s="92" t="s">
        <v>10</v>
      </c>
      <c r="P28" s="84">
        <v>100</v>
      </c>
      <c r="T28" s="248" t="s">
        <v>49</v>
      </c>
      <c r="U28" s="248"/>
      <c r="V28" s="98" t="s">
        <v>268</v>
      </c>
      <c r="W28" s="298">
        <f>(B51*(L48/1000)*100)/B15^2</f>
        <v>0</v>
      </c>
      <c r="X28" s="298"/>
      <c r="Y28" s="46" t="s">
        <v>53</v>
      </c>
      <c r="Z28" s="46"/>
      <c r="AA28" s="46"/>
      <c r="AB28" s="46"/>
      <c r="AC28" s="262"/>
      <c r="AD28" s="248" t="s">
        <v>258</v>
      </c>
      <c r="AE28" s="248"/>
      <c r="AF28" s="248"/>
      <c r="AG28" s="253"/>
      <c r="AH28" s="79"/>
      <c r="AI28" s="79"/>
      <c r="AJ28" s="79">
        <f>B15</f>
        <v>34.5</v>
      </c>
      <c r="AK28" s="80">
        <v>2</v>
      </c>
      <c r="AL28" s="79"/>
      <c r="AM28" s="48"/>
      <c r="AN28" s="296"/>
      <c r="AO28" s="248" t="s">
        <v>258</v>
      </c>
      <c r="AP28" s="248"/>
      <c r="AQ28" s="248"/>
      <c r="AR28" s="253"/>
      <c r="AS28" s="79"/>
      <c r="AT28" s="79"/>
      <c r="AU28" s="79">
        <f>B15</f>
        <v>34.5</v>
      </c>
      <c r="AV28" s="80">
        <v>2</v>
      </c>
      <c r="AW28" s="79"/>
      <c r="AX28" s="86"/>
      <c r="AY28" s="48"/>
      <c r="AZ28" s="134" t="s">
        <v>429</v>
      </c>
      <c r="BA28" s="238">
        <f>BF6*BF22</f>
        <v>265.836754105913</v>
      </c>
      <c r="BB28" s="238"/>
      <c r="BC28" s="238"/>
      <c r="BD28" s="242" t="s">
        <v>136</v>
      </c>
      <c r="BE28" s="242"/>
      <c r="BF28" s="251" t="s">
        <v>139</v>
      </c>
      <c r="BG28" s="251"/>
      <c r="BH28" s="251"/>
      <c r="BI28" s="251"/>
      <c r="BJ28" s="251"/>
      <c r="BK28" s="251"/>
      <c r="BL28" s="64"/>
      <c r="BM28" s="68"/>
      <c r="BN28" s="68"/>
      <c r="BO28" s="68"/>
      <c r="BP28"/>
      <c r="BQ28"/>
      <c r="BR28"/>
    </row>
    <row r="29" spans="1:76" ht="15" customHeight="1">
      <c r="A29" s="251" t="s">
        <v>287</v>
      </c>
      <c r="B29" s="251"/>
      <c r="E29" s="68"/>
      <c r="F29" s="253"/>
      <c r="G29" s="248" t="s">
        <v>258</v>
      </c>
      <c r="H29" s="248"/>
      <c r="I29" s="248"/>
      <c r="J29" s="248"/>
      <c r="K29" s="253"/>
      <c r="L29" s="79"/>
      <c r="M29" s="79"/>
      <c r="N29" s="79">
        <f>B15</f>
        <v>34.5</v>
      </c>
      <c r="O29" s="80">
        <v>2</v>
      </c>
      <c r="P29" s="79"/>
      <c r="V29" s="98" t="s">
        <v>269</v>
      </c>
      <c r="W29" s="298">
        <f>W28</f>
        <v>0</v>
      </c>
      <c r="X29" s="298"/>
      <c r="Y29" s="46" t="s">
        <v>53</v>
      </c>
      <c r="Z29" s="46"/>
      <c r="AA29" s="46"/>
      <c r="AB29" s="46"/>
      <c r="AC29" s="98" t="s">
        <v>260</v>
      </c>
      <c r="AD29" s="84">
        <f>AE24</f>
        <v>3</v>
      </c>
      <c r="AE29" s="49" t="s">
        <v>311</v>
      </c>
      <c r="AF29" s="49"/>
      <c r="AG29" s="98" t="s">
        <v>260</v>
      </c>
      <c r="AH29" s="84">
        <f>AE24</f>
        <v>3</v>
      </c>
      <c r="AI29" s="92" t="s">
        <v>10</v>
      </c>
      <c r="AJ29" s="94">
        <f>W41</f>
        <v>0.0036462927956311697</v>
      </c>
      <c r="AM29" s="48"/>
      <c r="AN29" s="52" t="s">
        <v>260</v>
      </c>
      <c r="AO29" s="84">
        <f>AP24</f>
        <v>3</v>
      </c>
      <c r="AP29" s="49" t="s">
        <v>311</v>
      </c>
      <c r="AQ29" s="98"/>
      <c r="AR29" s="98" t="s">
        <v>260</v>
      </c>
      <c r="AS29" s="84">
        <f>AP24</f>
        <v>3</v>
      </c>
      <c r="AT29" s="92" t="s">
        <v>10</v>
      </c>
      <c r="AU29" s="94">
        <f>Y41</f>
        <v>0.001376181474480151</v>
      </c>
      <c r="AY29" s="48"/>
      <c r="AZ29" s="270" t="s">
        <v>376</v>
      </c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0"/>
      <c r="BX29" s="270"/>
    </row>
    <row r="30" spans="5:76" ht="12.75" customHeight="1">
      <c r="E30" s="49"/>
      <c r="F30" s="49" t="s">
        <v>288</v>
      </c>
      <c r="G30" s="73">
        <f>C27</f>
        <v>2.9</v>
      </c>
      <c r="H30" s="49" t="s">
        <v>309</v>
      </c>
      <c r="I30" s="49"/>
      <c r="J30" s="49"/>
      <c r="L30" s="309" t="s">
        <v>288</v>
      </c>
      <c r="M30" s="309"/>
      <c r="N30" s="70">
        <f>C27</f>
        <v>2.9</v>
      </c>
      <c r="O30" s="71" t="s">
        <v>10</v>
      </c>
      <c r="P30" s="94">
        <f>W16</f>
        <v>0.11747246376811596</v>
      </c>
      <c r="V30" s="98" t="s">
        <v>272</v>
      </c>
      <c r="W30" s="298">
        <f>C53*W28</f>
        <v>0</v>
      </c>
      <c r="X30" s="298"/>
      <c r="Y30" s="46" t="s">
        <v>53</v>
      </c>
      <c r="Z30" s="46"/>
      <c r="AA30" s="46"/>
      <c r="AB30" s="46"/>
      <c r="AC30" s="262" t="s">
        <v>262</v>
      </c>
      <c r="AD30" s="240" t="s">
        <v>300</v>
      </c>
      <c r="AE30" s="240"/>
      <c r="AF30" s="240"/>
      <c r="AG30" s="253" t="s">
        <v>7</v>
      </c>
      <c r="AH30" s="82">
        <f>AD22</f>
        <v>0.179608</v>
      </c>
      <c r="AI30" s="92" t="s">
        <v>10</v>
      </c>
      <c r="AJ30" s="82">
        <f>AD26</f>
        <v>350</v>
      </c>
      <c r="AK30" s="92" t="s">
        <v>10</v>
      </c>
      <c r="AL30" s="82">
        <v>100</v>
      </c>
      <c r="AM30" s="48"/>
      <c r="AN30" s="296" t="s">
        <v>262</v>
      </c>
      <c r="AO30" s="240" t="s">
        <v>300</v>
      </c>
      <c r="AP30" s="240"/>
      <c r="AQ30" s="240"/>
      <c r="AR30" s="253" t="s">
        <v>7</v>
      </c>
      <c r="AS30" s="82">
        <f>AO22</f>
        <v>0.151034</v>
      </c>
      <c r="AT30" s="92" t="s">
        <v>10</v>
      </c>
      <c r="AU30" s="82">
        <f>AO26</f>
        <v>350</v>
      </c>
      <c r="AV30" s="92" t="s">
        <v>10</v>
      </c>
      <c r="AW30" s="82">
        <v>100</v>
      </c>
      <c r="AX30" s="86"/>
      <c r="AY30" s="48"/>
      <c r="AZ30" s="283" t="s">
        <v>374</v>
      </c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46" t="s">
        <v>375</v>
      </c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7"/>
      <c r="BX30" s="247"/>
    </row>
    <row r="31" spans="22:76" ht="12.75" customHeight="1">
      <c r="V31" s="98" t="s">
        <v>274</v>
      </c>
      <c r="W31" s="298">
        <f>(B50*(L48/1000)*100)/B15^2</f>
        <v>0</v>
      </c>
      <c r="X31" s="298"/>
      <c r="Y31" s="46" t="s">
        <v>53</v>
      </c>
      <c r="Z31" s="46"/>
      <c r="AA31" s="46"/>
      <c r="AB31" s="46"/>
      <c r="AC31" s="262"/>
      <c r="AD31" s="248" t="s">
        <v>258</v>
      </c>
      <c r="AE31" s="248"/>
      <c r="AF31" s="248"/>
      <c r="AG31" s="253"/>
      <c r="AH31" s="79"/>
      <c r="AI31" s="79"/>
      <c r="AJ31" s="79">
        <f>B15</f>
        <v>34.5</v>
      </c>
      <c r="AK31" s="80">
        <v>2</v>
      </c>
      <c r="AL31" s="79"/>
      <c r="AM31" s="48"/>
      <c r="AN31" s="296"/>
      <c r="AO31" s="248" t="s">
        <v>258</v>
      </c>
      <c r="AP31" s="248"/>
      <c r="AQ31" s="248"/>
      <c r="AR31" s="253"/>
      <c r="AS31" s="79"/>
      <c r="AT31" s="79"/>
      <c r="AU31" s="79">
        <f>B15</f>
        <v>34.5</v>
      </c>
      <c r="AV31" s="80">
        <v>2</v>
      </c>
      <c r="AW31" s="79"/>
      <c r="AX31" s="86"/>
      <c r="AY31" s="48"/>
      <c r="AZ31" s="108" t="s">
        <v>381</v>
      </c>
      <c r="BA31" s="71">
        <f>SQRT(2)</f>
        <v>1.4142135623730951</v>
      </c>
      <c r="BB31" s="92" t="s">
        <v>10</v>
      </c>
      <c r="BC31" s="71" t="s">
        <v>377</v>
      </c>
      <c r="BD31" s="92" t="s">
        <v>10</v>
      </c>
      <c r="BE31" s="248" t="s">
        <v>366</v>
      </c>
      <c r="BF31" s="248"/>
      <c r="BL31" s="113" t="s">
        <v>381</v>
      </c>
      <c r="BM31" s="114">
        <f>SQRT(2)</f>
        <v>1.4142135623730951</v>
      </c>
      <c r="BN31" s="65" t="s">
        <v>10</v>
      </c>
      <c r="BO31" s="114" t="s">
        <v>377</v>
      </c>
      <c r="BP31" s="65" t="s">
        <v>10</v>
      </c>
      <c r="BQ31" s="241" t="s">
        <v>366</v>
      </c>
      <c r="BR31" s="241"/>
      <c r="BS31" s="48"/>
      <c r="BT31" s="48"/>
      <c r="BU31" s="48"/>
      <c r="BV31" s="48"/>
      <c r="BW31" s="48"/>
      <c r="BX31" s="48"/>
    </row>
    <row r="32" spans="1:76" ht="11.25" customHeight="1">
      <c r="A32" s="295" t="s">
        <v>86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V32" s="98" t="s">
        <v>276</v>
      </c>
      <c r="W32" s="298">
        <f>W31</f>
        <v>0</v>
      </c>
      <c r="X32" s="298"/>
      <c r="Y32" s="46" t="s">
        <v>53</v>
      </c>
      <c r="Z32" s="46"/>
      <c r="AA32" s="46"/>
      <c r="AB32" s="46"/>
      <c r="AC32" s="98" t="s">
        <v>266</v>
      </c>
      <c r="AD32" s="84">
        <f>AE25</f>
        <v>7</v>
      </c>
      <c r="AE32" s="49" t="s">
        <v>310</v>
      </c>
      <c r="AG32" s="98" t="s">
        <v>266</v>
      </c>
      <c r="AH32" s="84">
        <f>AE25</f>
        <v>7</v>
      </c>
      <c r="AI32" s="92" t="s">
        <v>10</v>
      </c>
      <c r="AJ32" s="94">
        <f>W39</f>
        <v>0.00528147868094938</v>
      </c>
      <c r="AM32" s="48"/>
      <c r="AN32" s="52" t="s">
        <v>266</v>
      </c>
      <c r="AO32" s="84">
        <f>AP25</f>
        <v>7</v>
      </c>
      <c r="AP32" s="49" t="s">
        <v>310</v>
      </c>
      <c r="AR32" s="98" t="s">
        <v>266</v>
      </c>
      <c r="AS32" s="84">
        <f>AP25</f>
        <v>7</v>
      </c>
      <c r="AT32" s="92" t="s">
        <v>10</v>
      </c>
      <c r="AU32" s="94">
        <f>Y39</f>
        <v>0.004441243436252887</v>
      </c>
      <c r="BL32" s="62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</row>
    <row r="33" spans="1:76" ht="15" customHeight="1">
      <c r="A33" s="310" t="s">
        <v>82</v>
      </c>
      <c r="B33" s="310"/>
      <c r="C33" s="310"/>
      <c r="D33" s="97"/>
      <c r="E33" s="311" t="s">
        <v>76</v>
      </c>
      <c r="F33" s="311"/>
      <c r="G33" s="311"/>
      <c r="H33" s="311"/>
      <c r="I33" s="311"/>
      <c r="J33" s="311"/>
      <c r="K33" s="311"/>
      <c r="L33" s="311"/>
      <c r="M33" s="311"/>
      <c r="V33" s="98" t="s">
        <v>278</v>
      </c>
      <c r="W33" s="298">
        <f>((B50+0.15)*(L48/1000)*100)/B15^2</f>
        <v>0</v>
      </c>
      <c r="X33" s="298"/>
      <c r="Y33" s="46" t="s">
        <v>53</v>
      </c>
      <c r="Z33" s="46"/>
      <c r="AA33" s="46"/>
      <c r="AB33" s="46"/>
      <c r="AC33" s="295" t="s">
        <v>129</v>
      </c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Z33" s="71" t="s">
        <v>378</v>
      </c>
      <c r="BA33" s="45">
        <v>1.02</v>
      </c>
      <c r="BB33" s="84" t="s">
        <v>133</v>
      </c>
      <c r="BC33" s="248" t="s">
        <v>379</v>
      </c>
      <c r="BD33" s="248"/>
      <c r="BE33" s="248"/>
      <c r="BF33" s="248"/>
      <c r="BL33" s="115" t="s">
        <v>378</v>
      </c>
      <c r="BM33" s="48">
        <v>1.02</v>
      </c>
      <c r="BN33" s="86" t="s">
        <v>133</v>
      </c>
      <c r="BO33" s="241" t="s">
        <v>379</v>
      </c>
      <c r="BP33" s="241"/>
      <c r="BQ33" s="241"/>
      <c r="BR33" s="241"/>
      <c r="BS33" s="48"/>
      <c r="BT33" s="48"/>
      <c r="BU33" s="48"/>
      <c r="BV33" s="48"/>
      <c r="BW33" s="48"/>
      <c r="BX33" s="48"/>
    </row>
    <row r="34" spans="1:76" ht="12.75" customHeight="1">
      <c r="A34" s="87"/>
      <c r="B34" s="87"/>
      <c r="C34" s="87"/>
      <c r="D34" s="87"/>
      <c r="E34" s="86"/>
      <c r="F34" s="86"/>
      <c r="G34" s="86"/>
      <c r="H34" s="86"/>
      <c r="I34" s="86"/>
      <c r="J34" s="86"/>
      <c r="K34" s="86"/>
      <c r="L34" s="86"/>
      <c r="M34" s="86"/>
      <c r="W34" s="320" t="s">
        <v>289</v>
      </c>
      <c r="X34" s="320"/>
      <c r="Y34" s="302" t="s">
        <v>127</v>
      </c>
      <c r="Z34" s="302"/>
      <c r="AA34" s="94"/>
      <c r="AB34" s="94"/>
      <c r="AC34" s="248" t="s">
        <v>116</v>
      </c>
      <c r="AD34" s="248"/>
      <c r="AE34" s="248"/>
      <c r="AF34" s="248"/>
      <c r="AG34" s="248"/>
      <c r="AH34" s="248"/>
      <c r="AI34" s="248"/>
      <c r="AJ34" s="248"/>
      <c r="AK34" s="248"/>
      <c r="AL34" s="248"/>
      <c r="AN34" s="268" t="s">
        <v>117</v>
      </c>
      <c r="AO34" s="241"/>
      <c r="AP34" s="241"/>
      <c r="AQ34" s="241"/>
      <c r="AR34" s="241"/>
      <c r="AS34" s="241"/>
      <c r="AT34" s="241"/>
      <c r="AU34" s="241"/>
      <c r="AV34" s="241"/>
      <c r="AW34" s="241"/>
      <c r="AX34" s="86"/>
      <c r="AZ34" s="71" t="s">
        <v>378</v>
      </c>
      <c r="BA34" s="45">
        <f>ROUND(BA33+(0.9*EXP((-3*BA4)/BF4)),1)</f>
        <v>1.5</v>
      </c>
      <c r="BL34" s="115" t="s">
        <v>378</v>
      </c>
      <c r="BM34" s="48">
        <f>ROUND(BM33+(0.9*EXP((-3*BA17)/BF17)),1)</f>
        <v>1.9</v>
      </c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</row>
    <row r="35" spans="1:76" ht="12.75" customHeight="1">
      <c r="A35" s="274" t="s">
        <v>56</v>
      </c>
      <c r="B35" s="274"/>
      <c r="C35" s="274"/>
      <c r="D35" s="274"/>
      <c r="E35" s="274"/>
      <c r="F35" s="311" t="s">
        <v>213</v>
      </c>
      <c r="G35" s="311"/>
      <c r="H35" s="86"/>
      <c r="I35" s="86"/>
      <c r="J35" s="86"/>
      <c r="K35" s="126" t="s">
        <v>73</v>
      </c>
      <c r="L35" s="265">
        <v>0</v>
      </c>
      <c r="M35" s="273"/>
      <c r="N35" s="266"/>
      <c r="O35" s="243" t="s">
        <v>74</v>
      </c>
      <c r="P35" s="251"/>
      <c r="T35" s="248" t="s">
        <v>50</v>
      </c>
      <c r="U35" s="248"/>
      <c r="V35" s="98" t="s">
        <v>290</v>
      </c>
      <c r="W35" s="298">
        <f>(AD6*(AD10/1000)*100)/B15^2</f>
        <v>0.016936609955891618</v>
      </c>
      <c r="X35" s="298"/>
      <c r="Y35" s="298">
        <f>(AO6*(AO10/1000)*100/B15^2)</f>
        <v>0.0192792438563327</v>
      </c>
      <c r="Z35" s="298"/>
      <c r="AA35" s="45" t="s">
        <v>53</v>
      </c>
      <c r="AC35" s="278" t="s">
        <v>88</v>
      </c>
      <c r="AD35" s="278"/>
      <c r="AE35" s="278"/>
      <c r="AF35" s="297"/>
      <c r="AG35" s="275" t="s">
        <v>93</v>
      </c>
      <c r="AH35" s="275"/>
      <c r="AI35" s="275"/>
      <c r="AJ35" s="275"/>
      <c r="AN35" s="319" t="s">
        <v>88</v>
      </c>
      <c r="AO35" s="294"/>
      <c r="AP35" s="294"/>
      <c r="AQ35" s="297"/>
      <c r="AR35" s="275" t="s">
        <v>91</v>
      </c>
      <c r="AS35" s="275"/>
      <c r="AT35" s="275"/>
      <c r="AU35" s="275"/>
      <c r="AV35" s="48"/>
      <c r="AW35" s="48"/>
      <c r="AX35" s="48"/>
      <c r="BL35" s="62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</row>
    <row r="36" spans="22:76" ht="12.75" customHeight="1">
      <c r="V36" s="98" t="s">
        <v>291</v>
      </c>
      <c r="W36" s="298">
        <f>AE9*W35</f>
        <v>0.06774643982356647</v>
      </c>
      <c r="X36" s="298"/>
      <c r="Y36" s="298">
        <f>AP9*Y35</f>
        <v>0.0771169754253308</v>
      </c>
      <c r="Z36" s="298"/>
      <c r="AA36" s="45" t="s">
        <v>53</v>
      </c>
      <c r="AC36" s="278" t="s">
        <v>87</v>
      </c>
      <c r="AD36" s="278"/>
      <c r="AE36" s="278"/>
      <c r="AF36" s="297"/>
      <c r="AG36" s="275" t="s">
        <v>358</v>
      </c>
      <c r="AH36" s="275"/>
      <c r="AI36" s="275"/>
      <c r="AJ36" s="275"/>
      <c r="AN36" s="319" t="s">
        <v>87</v>
      </c>
      <c r="AO36" s="294"/>
      <c r="AP36" s="294"/>
      <c r="AQ36" s="297"/>
      <c r="AR36" s="275" t="s">
        <v>358</v>
      </c>
      <c r="AS36" s="275"/>
      <c r="AT36" s="275"/>
      <c r="AU36" s="275"/>
      <c r="AV36" s="48"/>
      <c r="AW36" s="48"/>
      <c r="AX36" s="48"/>
      <c r="AZ36" s="108" t="s">
        <v>381</v>
      </c>
      <c r="BA36" s="71">
        <f>SQRT(2)</f>
        <v>1.4142135623730951</v>
      </c>
      <c r="BB36" s="92" t="s">
        <v>10</v>
      </c>
      <c r="BC36" s="71">
        <f>BA34</f>
        <v>1.5</v>
      </c>
      <c r="BD36" s="92" t="s">
        <v>10</v>
      </c>
      <c r="BE36" s="248">
        <f>BA14</f>
        <v>5558.6639270430005</v>
      </c>
      <c r="BF36" s="248"/>
      <c r="BL36" s="113" t="s">
        <v>381</v>
      </c>
      <c r="BM36" s="114">
        <f>SQRT(2)</f>
        <v>1.4142135623730951</v>
      </c>
      <c r="BN36" s="65" t="s">
        <v>10</v>
      </c>
      <c r="BO36" s="114">
        <f>BM34</f>
        <v>1.9</v>
      </c>
      <c r="BP36" s="65" t="s">
        <v>10</v>
      </c>
      <c r="BQ36" s="241">
        <f>BA27</f>
        <v>22928.420041634992</v>
      </c>
      <c r="BR36" s="241"/>
      <c r="BS36" s="48"/>
      <c r="BT36" s="48"/>
      <c r="BU36" s="48"/>
      <c r="BV36" s="48"/>
      <c r="BW36" s="48"/>
      <c r="BX36" s="48"/>
    </row>
    <row r="37" spans="1:76" ht="12.75" customHeight="1">
      <c r="A37" s="193" t="s">
        <v>70</v>
      </c>
      <c r="B37" s="248">
        <f>VLOOKUP(F35,TGK!L3:N27,2,0)</f>
        <v>0.13416</v>
      </c>
      <c r="C37" s="248"/>
      <c r="D37" s="109" t="s">
        <v>61</v>
      </c>
      <c r="F37" s="253" t="s">
        <v>279</v>
      </c>
      <c r="G37" s="240" t="s">
        <v>280</v>
      </c>
      <c r="H37" s="240"/>
      <c r="I37" s="240"/>
      <c r="J37" s="240"/>
      <c r="K37" s="253" t="s">
        <v>7</v>
      </c>
      <c r="L37" s="84">
        <f>L35</f>
        <v>0</v>
      </c>
      <c r="M37" s="92" t="s">
        <v>10</v>
      </c>
      <c r="N37" s="91">
        <f>B37</f>
        <v>0.13416</v>
      </c>
      <c r="O37" s="92" t="s">
        <v>10</v>
      </c>
      <c r="P37" s="84">
        <v>100</v>
      </c>
      <c r="V37" s="98" t="s">
        <v>292</v>
      </c>
      <c r="W37" s="275">
        <f>(AD5*(AD10/1000)*100)/B15^2</f>
        <v>0.007601764335223691</v>
      </c>
      <c r="X37" s="275"/>
      <c r="Y37" s="298">
        <f>(AO5*(AO10/1000)*100)/B15^2</f>
        <v>0.024902331442974164</v>
      </c>
      <c r="Z37" s="298"/>
      <c r="AA37" s="45" t="s">
        <v>53</v>
      </c>
      <c r="AC37" s="98" t="s">
        <v>70</v>
      </c>
      <c r="AD37" s="248">
        <f>VLOOKUP(AG35,TGK!W2:Y24,2,0)</f>
        <v>0.193</v>
      </c>
      <c r="AE37" s="248"/>
      <c r="AF37" s="109" t="s">
        <v>61</v>
      </c>
      <c r="AM37" s="48"/>
      <c r="AN37" s="52" t="s">
        <v>70</v>
      </c>
      <c r="AO37" s="241">
        <f>VLOOKUP(AR35,TGK!W2:Y24,3,0)</f>
        <v>0.4954</v>
      </c>
      <c r="AP37" s="241"/>
      <c r="AQ37" s="109" t="s">
        <v>61</v>
      </c>
      <c r="AR37" s="109"/>
      <c r="AS37" s="48"/>
      <c r="AT37" s="48"/>
      <c r="AU37" s="48"/>
      <c r="AV37" s="48"/>
      <c r="AW37" s="48"/>
      <c r="AX37" s="48"/>
      <c r="AZ37" s="108"/>
      <c r="BL37" s="113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</row>
    <row r="38" spans="1:76" ht="16.5" customHeight="1">
      <c r="A38" s="193" t="s">
        <v>71</v>
      </c>
      <c r="B38" s="248">
        <f>VLOOKUP(F35,TGK!L3:N27,3,0)</f>
        <v>0.3427</v>
      </c>
      <c r="C38" s="248"/>
      <c r="D38" s="109" t="s">
        <v>61</v>
      </c>
      <c r="F38" s="253"/>
      <c r="G38" s="248" t="s">
        <v>258</v>
      </c>
      <c r="H38" s="248"/>
      <c r="I38" s="248"/>
      <c r="J38" s="248"/>
      <c r="K38" s="253"/>
      <c r="L38" s="79"/>
      <c r="M38" s="79"/>
      <c r="N38" s="79">
        <f>B15</f>
        <v>34.5</v>
      </c>
      <c r="O38" s="80">
        <v>2</v>
      </c>
      <c r="P38" s="79"/>
      <c r="V38" s="98" t="s">
        <v>293</v>
      </c>
      <c r="W38" s="298">
        <f>AE8*W37</f>
        <v>0.06081411468178953</v>
      </c>
      <c r="X38" s="298"/>
      <c r="Y38" s="298">
        <f>AP8*Y37</f>
        <v>0.1992186515437933</v>
      </c>
      <c r="Z38" s="298"/>
      <c r="AA38" s="45" t="s">
        <v>53</v>
      </c>
      <c r="AC38" s="98" t="s">
        <v>71</v>
      </c>
      <c r="AD38" s="248">
        <f>INDEX(TGK!Z1:AB24,MATCH(KISADEVRE_PU!AG35,TGK!Z1:Z24,0),MATCH(KISADEVRE_PU!AG36,TGK!Z1:AB1,0))</f>
        <v>0.130624</v>
      </c>
      <c r="AE38" s="248"/>
      <c r="AF38" s="109" t="s">
        <v>61</v>
      </c>
      <c r="AM38" s="48"/>
      <c r="AN38" s="52" t="s">
        <v>71</v>
      </c>
      <c r="AO38" s="241">
        <f>INDEX(TGK!Z1:AB24,MATCH(KISADEVRE_PU!AR35,TGK!Z1:Z24,0),MATCH(KISADEVRE_PU!AR36,TGK!Z1:AB1,0))</f>
        <v>0.144126</v>
      </c>
      <c r="AP38" s="241"/>
      <c r="AQ38" s="109" t="s">
        <v>61</v>
      </c>
      <c r="AR38" s="48"/>
      <c r="AS38" s="48"/>
      <c r="AT38" s="48"/>
      <c r="AU38" s="48"/>
      <c r="AV38" s="48"/>
      <c r="AW38" s="48"/>
      <c r="AX38" s="48"/>
      <c r="AZ38" s="132" t="s">
        <v>427</v>
      </c>
      <c r="BA38" s="238">
        <f>BA36*BC36*BE36/1000</f>
        <v>11.791706871447452</v>
      </c>
      <c r="BB38" s="238"/>
      <c r="BC38" s="238"/>
      <c r="BD38" s="283" t="s">
        <v>367</v>
      </c>
      <c r="BE38" s="283"/>
      <c r="BL38" s="133" t="s">
        <v>427</v>
      </c>
      <c r="BM38" s="245">
        <f>BM36*BO36*BQ36/1000</f>
        <v>61.60879691466785</v>
      </c>
      <c r="BN38" s="245"/>
      <c r="BO38" s="245"/>
      <c r="BP38" s="247" t="s">
        <v>367</v>
      </c>
      <c r="BQ38" s="247"/>
      <c r="BR38" s="48"/>
      <c r="BS38" s="48"/>
      <c r="BT38" s="48"/>
      <c r="BU38" s="48"/>
      <c r="BV38" s="48"/>
      <c r="BW38" s="48"/>
      <c r="BX38" s="48"/>
    </row>
    <row r="39" spans="1:76" ht="12.75" customHeight="1">
      <c r="A39" s="193" t="s">
        <v>281</v>
      </c>
      <c r="B39" s="248" t="s">
        <v>75</v>
      </c>
      <c r="C39" s="248"/>
      <c r="D39" s="109" t="s">
        <v>61</v>
      </c>
      <c r="F39" s="253" t="s">
        <v>282</v>
      </c>
      <c r="G39" s="240" t="s">
        <v>283</v>
      </c>
      <c r="H39" s="240"/>
      <c r="I39" s="240"/>
      <c r="J39" s="240"/>
      <c r="K39" s="253" t="s">
        <v>7</v>
      </c>
      <c r="L39" s="84">
        <f>L35</f>
        <v>0</v>
      </c>
      <c r="M39" s="92" t="s">
        <v>10</v>
      </c>
      <c r="N39" s="84">
        <f>B37+0.15</f>
        <v>0.28415999999999997</v>
      </c>
      <c r="O39" s="92" t="s">
        <v>10</v>
      </c>
      <c r="P39" s="84">
        <v>100</v>
      </c>
      <c r="T39" s="248" t="s">
        <v>51</v>
      </c>
      <c r="U39" s="248"/>
      <c r="V39" s="98" t="s">
        <v>290</v>
      </c>
      <c r="W39" s="298">
        <f>(AD22*(AD26/1000)*100)/B15^2</f>
        <v>0.00528147868094938</v>
      </c>
      <c r="X39" s="298"/>
      <c r="Y39" s="298">
        <f>(AO22*(AO26/1000)*100)/B15^2</f>
        <v>0.004441243436252887</v>
      </c>
      <c r="Z39" s="298"/>
      <c r="AA39" s="45" t="s">
        <v>53</v>
      </c>
      <c r="AC39" s="278" t="s">
        <v>118</v>
      </c>
      <c r="AD39" s="278"/>
      <c r="AE39" s="278"/>
      <c r="AF39" s="278"/>
      <c r="AG39" s="275" t="s">
        <v>124</v>
      </c>
      <c r="AH39" s="275"/>
      <c r="AI39" s="275"/>
      <c r="AJ39" s="275"/>
      <c r="AK39" s="275"/>
      <c r="AM39" s="48"/>
      <c r="AN39" s="319" t="s">
        <v>118</v>
      </c>
      <c r="AO39" s="294"/>
      <c r="AP39" s="294"/>
      <c r="AQ39" s="294"/>
      <c r="AR39" s="275" t="s">
        <v>120</v>
      </c>
      <c r="AS39" s="275"/>
      <c r="AT39" s="275"/>
      <c r="AU39" s="275"/>
      <c r="AV39" s="275"/>
      <c r="AW39" s="48"/>
      <c r="AX39" s="48"/>
      <c r="AZ39" s="108"/>
      <c r="BL39" s="113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</row>
    <row r="40" spans="1:76" ht="15.75" customHeight="1">
      <c r="A40" s="244" t="s">
        <v>307</v>
      </c>
      <c r="B40" s="244"/>
      <c r="C40" s="69">
        <f>VLOOKUP(E33,TGK!T2:U7,2,0)</f>
        <v>2.9</v>
      </c>
      <c r="D40" s="69"/>
      <c r="F40" s="253"/>
      <c r="G40" s="248" t="s">
        <v>258</v>
      </c>
      <c r="H40" s="248"/>
      <c r="I40" s="248"/>
      <c r="J40" s="248"/>
      <c r="K40" s="253"/>
      <c r="L40" s="79"/>
      <c r="M40" s="79"/>
      <c r="N40" s="79">
        <f>B15</f>
        <v>34.5</v>
      </c>
      <c r="O40" s="80">
        <v>2</v>
      </c>
      <c r="P40" s="79"/>
      <c r="V40" s="98" t="s">
        <v>291</v>
      </c>
      <c r="W40" s="298">
        <f>AE25*W39</f>
        <v>0.03697035076664566</v>
      </c>
      <c r="X40" s="298"/>
      <c r="Y40" s="298">
        <f>AP25*Y39</f>
        <v>0.031088704053770212</v>
      </c>
      <c r="Z40" s="298"/>
      <c r="AA40" s="45" t="s">
        <v>53</v>
      </c>
      <c r="AC40" s="248" t="s">
        <v>239</v>
      </c>
      <c r="AD40" s="248"/>
      <c r="AE40" s="87">
        <f>VLOOKUP(AG39,TGK!AD1:AF3,2,0)</f>
        <v>3</v>
      </c>
      <c r="AM40" s="48"/>
      <c r="AN40" s="268" t="s">
        <v>239</v>
      </c>
      <c r="AO40" s="241"/>
      <c r="AP40" s="99">
        <f>VLOOKUP(AR39,TGK!AD1:AF3,2,0)</f>
        <v>8</v>
      </c>
      <c r="AQ40" s="48"/>
      <c r="AR40" s="48"/>
      <c r="AS40" s="48"/>
      <c r="AT40" s="48"/>
      <c r="AU40" s="48"/>
      <c r="AV40" s="48"/>
      <c r="AW40" s="48"/>
      <c r="AX40" s="48"/>
      <c r="AZ40" s="108" t="s">
        <v>382</v>
      </c>
      <c r="BA40" s="96" t="s">
        <v>380</v>
      </c>
      <c r="BB40" s="92" t="s">
        <v>10</v>
      </c>
      <c r="BC40" s="248" t="s">
        <v>383</v>
      </c>
      <c r="BD40" s="248"/>
      <c r="BE40" s="248"/>
      <c r="BF40" s="248"/>
      <c r="BH40" s="60" t="s">
        <v>384</v>
      </c>
      <c r="BI40" s="253" t="s">
        <v>7</v>
      </c>
      <c r="BJ40" s="111">
        <f>BF4</f>
        <v>0.29484384235434236</v>
      </c>
      <c r="BL40" s="113" t="s">
        <v>382</v>
      </c>
      <c r="BM40" s="101" t="s">
        <v>380</v>
      </c>
      <c r="BN40" s="65" t="s">
        <v>10</v>
      </c>
      <c r="BO40" s="241" t="s">
        <v>383</v>
      </c>
      <c r="BP40" s="241"/>
      <c r="BQ40" s="241"/>
      <c r="BR40" s="241"/>
      <c r="BS40" s="48"/>
      <c r="BT40" s="60" t="s">
        <v>384</v>
      </c>
      <c r="BU40" s="239" t="s">
        <v>7</v>
      </c>
      <c r="BV40" s="111">
        <f>BF17</f>
        <v>6.294843842354342</v>
      </c>
      <c r="BW40" s="48"/>
      <c r="BX40" s="48"/>
    </row>
    <row r="41" spans="1:76" ht="12.75" customHeight="1">
      <c r="A41" s="251" t="s">
        <v>284</v>
      </c>
      <c r="B41" s="251"/>
      <c r="F41" s="253" t="s">
        <v>285</v>
      </c>
      <c r="G41" s="240" t="s">
        <v>286</v>
      </c>
      <c r="H41" s="240"/>
      <c r="I41" s="240"/>
      <c r="J41" s="240"/>
      <c r="K41" s="253" t="s">
        <v>7</v>
      </c>
      <c r="L41" s="84">
        <f>L35</f>
        <v>0</v>
      </c>
      <c r="M41" s="92" t="s">
        <v>10</v>
      </c>
      <c r="N41" s="84">
        <f>B38</f>
        <v>0.3427</v>
      </c>
      <c r="O41" s="92" t="s">
        <v>10</v>
      </c>
      <c r="P41" s="84">
        <v>100</v>
      </c>
      <c r="V41" s="98" t="s">
        <v>292</v>
      </c>
      <c r="W41" s="298">
        <f>(AD21*(AD26/1000)*100)/B15^2</f>
        <v>0.0036462927956311697</v>
      </c>
      <c r="X41" s="298"/>
      <c r="Y41" s="298">
        <f>(AO21*(AO26/1000)*100)/B15^2</f>
        <v>0.001376181474480151</v>
      </c>
      <c r="Z41" s="298"/>
      <c r="AA41" s="45" t="s">
        <v>53</v>
      </c>
      <c r="AC41" s="248" t="s">
        <v>245</v>
      </c>
      <c r="AD41" s="248"/>
      <c r="AE41" s="87">
        <f>VLOOKUP(AG39,TGK!AD1:AF3,3,0)</f>
        <v>7</v>
      </c>
      <c r="AM41" s="48"/>
      <c r="AN41" s="268" t="s">
        <v>245</v>
      </c>
      <c r="AO41" s="241"/>
      <c r="AP41" s="99">
        <f>VLOOKUP(AR39,TGK!AD1:AF3,3,0)</f>
        <v>4</v>
      </c>
      <c r="AQ41" s="48"/>
      <c r="AR41" s="48"/>
      <c r="AS41" s="48"/>
      <c r="AT41" s="48"/>
      <c r="AU41" s="48"/>
      <c r="AV41" s="48"/>
      <c r="AW41" s="48"/>
      <c r="AX41" s="48"/>
      <c r="BA41" s="63"/>
      <c r="BH41" s="45" t="s">
        <v>385</v>
      </c>
      <c r="BI41" s="253"/>
      <c r="BJ41" s="110">
        <f>W49</f>
        <v>6</v>
      </c>
      <c r="BL41" s="62"/>
      <c r="BM41" s="116"/>
      <c r="BN41" s="48"/>
      <c r="BO41" s="48"/>
      <c r="BP41" s="48"/>
      <c r="BQ41" s="48"/>
      <c r="BR41" s="48"/>
      <c r="BS41" s="48"/>
      <c r="BT41" s="48" t="s">
        <v>385</v>
      </c>
      <c r="BU41" s="239"/>
      <c r="BV41" s="117">
        <f>W49</f>
        <v>6</v>
      </c>
      <c r="BW41" s="48"/>
      <c r="BX41" s="48"/>
    </row>
    <row r="42" spans="1:76" ht="15.75" customHeight="1">
      <c r="A42" s="251" t="s">
        <v>287</v>
      </c>
      <c r="B42" s="251"/>
      <c r="F42" s="253"/>
      <c r="G42" s="248" t="s">
        <v>258</v>
      </c>
      <c r="H42" s="248"/>
      <c r="I42" s="248"/>
      <c r="J42" s="248"/>
      <c r="K42" s="253"/>
      <c r="L42" s="79"/>
      <c r="M42" s="79"/>
      <c r="N42" s="79">
        <f>B15</f>
        <v>34.5</v>
      </c>
      <c r="O42" s="80">
        <v>2</v>
      </c>
      <c r="P42" s="79"/>
      <c r="V42" s="98" t="s">
        <v>293</v>
      </c>
      <c r="W42" s="298">
        <f>AE24*W41</f>
        <v>0.01093887838689351</v>
      </c>
      <c r="X42" s="298"/>
      <c r="Y42" s="298">
        <f>AP24*Y41</f>
        <v>0.004128544423440453</v>
      </c>
      <c r="Z42" s="298"/>
      <c r="AA42" s="45" t="s">
        <v>53</v>
      </c>
      <c r="AC42" s="129" t="s">
        <v>73</v>
      </c>
      <c r="AD42" s="85">
        <v>0</v>
      </c>
      <c r="AE42" s="45" t="s">
        <v>74</v>
      </c>
      <c r="AM42" s="48"/>
      <c r="AN42" s="127" t="s">
        <v>73</v>
      </c>
      <c r="AO42" s="85">
        <v>0</v>
      </c>
      <c r="AP42" s="45" t="s">
        <v>74</v>
      </c>
      <c r="AQ42" s="48"/>
      <c r="BA42" s="112" t="s">
        <v>380</v>
      </c>
      <c r="BB42" s="253" t="s">
        <v>7</v>
      </c>
      <c r="BC42" s="253">
        <f>IF(BJ42&lt;=0.5,1,1.25)</f>
        <v>1</v>
      </c>
      <c r="BH42" s="60" t="s">
        <v>384</v>
      </c>
      <c r="BI42" s="253" t="s">
        <v>7</v>
      </c>
      <c r="BJ42" s="253">
        <f>BJ40/BJ41</f>
        <v>0.04914064039239039</v>
      </c>
      <c r="BL42" s="62"/>
      <c r="BM42" s="112" t="s">
        <v>380</v>
      </c>
      <c r="BN42" s="239" t="s">
        <v>7</v>
      </c>
      <c r="BO42" s="239">
        <f>IF(BV42&lt;=0.5,1,1.25)</f>
        <v>1.25</v>
      </c>
      <c r="BP42" s="48"/>
      <c r="BQ42" s="48"/>
      <c r="BR42" s="48"/>
      <c r="BS42" s="48"/>
      <c r="BT42" s="60" t="s">
        <v>384</v>
      </c>
      <c r="BU42" s="239" t="s">
        <v>7</v>
      </c>
      <c r="BV42" s="239">
        <f>BV40/BV41</f>
        <v>1.0491406403923904</v>
      </c>
      <c r="BW42" s="48"/>
      <c r="BX42" s="48"/>
    </row>
    <row r="43" spans="6:76" ht="14.25" customHeight="1">
      <c r="F43" s="49" t="s">
        <v>288</v>
      </c>
      <c r="G43" s="73">
        <f>C40</f>
        <v>2.9</v>
      </c>
      <c r="H43" s="49" t="s">
        <v>309</v>
      </c>
      <c r="I43" s="49"/>
      <c r="L43" s="309" t="s">
        <v>288</v>
      </c>
      <c r="M43" s="309"/>
      <c r="N43" s="70">
        <f>C40</f>
        <v>2.9</v>
      </c>
      <c r="O43" s="71" t="s">
        <v>10</v>
      </c>
      <c r="P43" s="94">
        <f>W22</f>
        <v>0</v>
      </c>
      <c r="T43" s="248" t="s">
        <v>52</v>
      </c>
      <c r="U43" s="248"/>
      <c r="V43" s="98" t="s">
        <v>290</v>
      </c>
      <c r="W43" s="298">
        <f>(AD38*(AD42/1000)*100)/B15^2</f>
        <v>0</v>
      </c>
      <c r="X43" s="298"/>
      <c r="Y43" s="298">
        <f>(AO38*(AO42/1000)*100)/B15^2</f>
        <v>0</v>
      </c>
      <c r="Z43" s="298"/>
      <c r="AA43" s="45" t="s">
        <v>53</v>
      </c>
      <c r="AC43" s="262" t="s">
        <v>252</v>
      </c>
      <c r="AD43" s="240" t="s">
        <v>299</v>
      </c>
      <c r="AE43" s="240"/>
      <c r="AF43" s="240"/>
      <c r="AG43" s="253" t="s">
        <v>7</v>
      </c>
      <c r="AH43" s="82">
        <f>AD37</f>
        <v>0.193</v>
      </c>
      <c r="AI43" s="92" t="s">
        <v>10</v>
      </c>
      <c r="AJ43" s="82">
        <f>AD42</f>
        <v>0</v>
      </c>
      <c r="AK43" s="92" t="s">
        <v>10</v>
      </c>
      <c r="AL43" s="82">
        <v>100</v>
      </c>
      <c r="AM43" s="48"/>
      <c r="AN43" s="296" t="s">
        <v>252</v>
      </c>
      <c r="AO43" s="240" t="s">
        <v>299</v>
      </c>
      <c r="AP43" s="240"/>
      <c r="AQ43" s="240"/>
      <c r="AR43" s="253" t="s">
        <v>7</v>
      </c>
      <c r="AS43" s="82">
        <f>AO37</f>
        <v>0.4954</v>
      </c>
      <c r="AT43" s="92" t="s">
        <v>10</v>
      </c>
      <c r="AU43" s="82">
        <f>AO42</f>
        <v>0</v>
      </c>
      <c r="AV43" s="92" t="s">
        <v>10</v>
      </c>
      <c r="AW43" s="82">
        <v>100</v>
      </c>
      <c r="AX43" s="86"/>
      <c r="BA43" s="96" t="s">
        <v>386</v>
      </c>
      <c r="BB43" s="253"/>
      <c r="BC43" s="253"/>
      <c r="BH43" s="45" t="s">
        <v>385</v>
      </c>
      <c r="BI43" s="253"/>
      <c r="BJ43" s="253"/>
      <c r="BL43" s="62"/>
      <c r="BM43" s="101" t="s">
        <v>386</v>
      </c>
      <c r="BN43" s="239"/>
      <c r="BO43" s="239"/>
      <c r="BP43" s="48"/>
      <c r="BQ43" s="48"/>
      <c r="BR43" s="48"/>
      <c r="BS43" s="48"/>
      <c r="BT43" s="48" t="s">
        <v>385</v>
      </c>
      <c r="BU43" s="239"/>
      <c r="BV43" s="239"/>
      <c r="BW43" s="48"/>
      <c r="BX43" s="48"/>
    </row>
    <row r="44" spans="22:76" ht="12.75" customHeight="1">
      <c r="V44" s="98" t="s">
        <v>291</v>
      </c>
      <c r="W44" s="298">
        <f>AE41*W43</f>
        <v>0</v>
      </c>
      <c r="X44" s="298"/>
      <c r="Y44" s="298">
        <f>AP41*Y43</f>
        <v>0</v>
      </c>
      <c r="Z44" s="298"/>
      <c r="AA44" s="45" t="s">
        <v>53</v>
      </c>
      <c r="AC44" s="262"/>
      <c r="AD44" s="248" t="s">
        <v>258</v>
      </c>
      <c r="AE44" s="248"/>
      <c r="AF44" s="248"/>
      <c r="AG44" s="253"/>
      <c r="AH44" s="79"/>
      <c r="AI44" s="79"/>
      <c r="AJ44" s="79">
        <f>B15</f>
        <v>34.5</v>
      </c>
      <c r="AK44" s="80">
        <v>2</v>
      </c>
      <c r="AL44" s="79"/>
      <c r="AM44" s="48"/>
      <c r="AN44" s="296"/>
      <c r="AO44" s="248" t="s">
        <v>258</v>
      </c>
      <c r="AP44" s="248"/>
      <c r="AQ44" s="248"/>
      <c r="AR44" s="253"/>
      <c r="AS44" s="79"/>
      <c r="AT44" s="79"/>
      <c r="AU44" s="79">
        <f>B15</f>
        <v>34.5</v>
      </c>
      <c r="AV44" s="80">
        <v>2</v>
      </c>
      <c r="AW44" s="79"/>
      <c r="AX44" s="86"/>
      <c r="AZ44" s="45" t="s">
        <v>387</v>
      </c>
      <c r="BA44" s="45">
        <f>VLOOKUP(BA34,TGK!AN6:AO14,2,0)</f>
        <v>0</v>
      </c>
      <c r="BL44" s="62" t="s">
        <v>387</v>
      </c>
      <c r="BM44" s="48">
        <f>VLOOKUP(BM34,TGK!AN6:AO14,2,0)</f>
        <v>0.2</v>
      </c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</row>
    <row r="45" spans="1:76" ht="11.25" customHeight="1">
      <c r="A45" s="295" t="s">
        <v>85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V45" s="98" t="s">
        <v>292</v>
      </c>
      <c r="W45" s="298">
        <f>(AD37*(AD42/1000)*100)/B15^2</f>
        <v>0</v>
      </c>
      <c r="X45" s="298"/>
      <c r="Y45" s="298">
        <f>(AO37*(AO42/1000)*100)/B15^2</f>
        <v>0</v>
      </c>
      <c r="Z45" s="298"/>
      <c r="AA45" s="45" t="s">
        <v>53</v>
      </c>
      <c r="AC45" s="98" t="s">
        <v>260</v>
      </c>
      <c r="AD45" s="84">
        <f>AE40</f>
        <v>3</v>
      </c>
      <c r="AE45" s="49" t="s">
        <v>311</v>
      </c>
      <c r="AF45" s="49"/>
      <c r="AG45" s="98" t="s">
        <v>260</v>
      </c>
      <c r="AH45" s="84">
        <f>AE40</f>
        <v>3</v>
      </c>
      <c r="AI45" s="92" t="s">
        <v>10</v>
      </c>
      <c r="AJ45" s="94">
        <f>W45</f>
        <v>0</v>
      </c>
      <c r="AM45" s="48"/>
      <c r="AN45" s="52" t="s">
        <v>260</v>
      </c>
      <c r="AO45" s="84">
        <f>AP40</f>
        <v>8</v>
      </c>
      <c r="AP45" s="49" t="s">
        <v>311</v>
      </c>
      <c r="AQ45" s="98"/>
      <c r="AR45" s="98" t="s">
        <v>260</v>
      </c>
      <c r="AS45" s="84">
        <f>AP40</f>
        <v>8</v>
      </c>
      <c r="AT45" s="92" t="s">
        <v>10</v>
      </c>
      <c r="AU45" s="94">
        <f>Y45</f>
        <v>0</v>
      </c>
      <c r="AZ45" t="s">
        <v>388</v>
      </c>
      <c r="BA45">
        <f>VLOOKUP(BC42,TGK!AN17:AO18,2,0)</f>
        <v>1</v>
      </c>
      <c r="BB45"/>
      <c r="BC45"/>
      <c r="BL45" s="103" t="s">
        <v>388</v>
      </c>
      <c r="BM45" s="7">
        <f>VLOOKUP(BO42,TGK!AN17:AO18,2,0)</f>
        <v>0.9</v>
      </c>
      <c r="BN45" s="7"/>
      <c r="BO45" s="7"/>
      <c r="BP45" s="48"/>
      <c r="BQ45" s="48"/>
      <c r="BR45" s="48"/>
      <c r="BS45" s="48"/>
      <c r="BT45" s="48"/>
      <c r="BU45" s="48"/>
      <c r="BV45" s="48"/>
      <c r="BW45" s="48"/>
      <c r="BX45" s="48"/>
    </row>
    <row r="46" spans="1:76" ht="12.75" customHeight="1">
      <c r="A46" s="310" t="s">
        <v>82</v>
      </c>
      <c r="B46" s="310"/>
      <c r="C46" s="310"/>
      <c r="D46" s="97"/>
      <c r="E46" s="311" t="s">
        <v>76</v>
      </c>
      <c r="F46" s="311"/>
      <c r="G46" s="311"/>
      <c r="H46" s="311"/>
      <c r="I46" s="311"/>
      <c r="J46" s="311"/>
      <c r="K46" s="311"/>
      <c r="L46" s="311"/>
      <c r="M46" s="311"/>
      <c r="V46" s="98" t="s">
        <v>293</v>
      </c>
      <c r="W46" s="298">
        <f>AE40*W45</f>
        <v>0</v>
      </c>
      <c r="X46" s="298"/>
      <c r="Y46" s="298">
        <f>AP40*Y45</f>
        <v>0</v>
      </c>
      <c r="Z46" s="298"/>
      <c r="AA46" s="45" t="s">
        <v>53</v>
      </c>
      <c r="AC46" s="262" t="s">
        <v>262</v>
      </c>
      <c r="AD46" s="240" t="s">
        <v>300</v>
      </c>
      <c r="AE46" s="240"/>
      <c r="AF46" s="240"/>
      <c r="AG46" s="253" t="s">
        <v>7</v>
      </c>
      <c r="AH46" s="82">
        <f>AD38</f>
        <v>0.130624</v>
      </c>
      <c r="AI46" s="92" t="s">
        <v>10</v>
      </c>
      <c r="AJ46" s="82">
        <f>AD42</f>
        <v>0</v>
      </c>
      <c r="AK46" s="92" t="s">
        <v>10</v>
      </c>
      <c r="AL46" s="82">
        <v>100</v>
      </c>
      <c r="AM46" s="48"/>
      <c r="AN46" s="296" t="s">
        <v>262</v>
      </c>
      <c r="AO46" s="240" t="s">
        <v>300</v>
      </c>
      <c r="AP46" s="240"/>
      <c r="AQ46" s="240"/>
      <c r="AR46" s="253" t="s">
        <v>7</v>
      </c>
      <c r="AS46" s="82">
        <f>AO38</f>
        <v>0.144126</v>
      </c>
      <c r="AT46" s="92" t="s">
        <v>10</v>
      </c>
      <c r="AU46" s="82">
        <f>AO42</f>
        <v>0</v>
      </c>
      <c r="AV46" s="92" t="s">
        <v>10</v>
      </c>
      <c r="AW46" s="82">
        <v>100</v>
      </c>
      <c r="AX46" s="86"/>
      <c r="BL46" s="62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</row>
    <row r="47" spans="1:76" ht="13.5" customHeight="1">
      <c r="A47" s="87"/>
      <c r="B47" s="87"/>
      <c r="C47" s="87"/>
      <c r="D47" s="87"/>
      <c r="E47" s="86"/>
      <c r="F47" s="86"/>
      <c r="G47" s="86"/>
      <c r="H47" s="86"/>
      <c r="I47" s="86"/>
      <c r="J47" s="86"/>
      <c r="K47" s="86"/>
      <c r="L47" s="86"/>
      <c r="M47" s="86"/>
      <c r="AC47" s="262"/>
      <c r="AD47" s="248" t="s">
        <v>258</v>
      </c>
      <c r="AE47" s="248"/>
      <c r="AF47" s="248"/>
      <c r="AG47" s="253"/>
      <c r="AH47" s="79"/>
      <c r="AI47" s="79"/>
      <c r="AJ47" s="79">
        <f>B15</f>
        <v>34.5</v>
      </c>
      <c r="AK47" s="80">
        <v>2</v>
      </c>
      <c r="AL47" s="79"/>
      <c r="AM47" s="48"/>
      <c r="AN47" s="296"/>
      <c r="AO47" s="248" t="s">
        <v>258</v>
      </c>
      <c r="AP47" s="248"/>
      <c r="AQ47" s="248"/>
      <c r="AR47" s="253"/>
      <c r="AS47" s="79"/>
      <c r="AT47" s="79"/>
      <c r="AU47" s="79">
        <f>B15</f>
        <v>34.5</v>
      </c>
      <c r="AV47" s="80">
        <v>2</v>
      </c>
      <c r="AW47" s="79"/>
      <c r="AX47" s="86"/>
      <c r="AZ47" s="132" t="s">
        <v>428</v>
      </c>
      <c r="BA47" s="322">
        <f>BA14*SQRT((BA44+BA45)*0.5)</f>
        <v>3930.5689571491503</v>
      </c>
      <c r="BB47" s="322"/>
      <c r="BC47" s="322"/>
      <c r="BD47" s="247" t="s">
        <v>136</v>
      </c>
      <c r="BE47" s="247"/>
      <c r="BL47" s="133" t="s">
        <v>428</v>
      </c>
      <c r="BM47" s="325">
        <f>BA27*SQRT((BM44+BM45)*0.5)/1000</f>
        <v>17.00417140242673</v>
      </c>
      <c r="BN47" s="325"/>
      <c r="BO47" s="325"/>
      <c r="BP47" s="247" t="s">
        <v>367</v>
      </c>
      <c r="BQ47" s="247"/>
      <c r="BR47" s="48"/>
      <c r="BS47" s="48"/>
      <c r="BT47" s="48"/>
      <c r="BU47" s="48"/>
      <c r="BV47" s="48"/>
      <c r="BW47" s="48"/>
      <c r="BX47" s="48"/>
    </row>
    <row r="48" spans="1:76" ht="11.25" customHeight="1">
      <c r="A48" s="274" t="s">
        <v>56</v>
      </c>
      <c r="B48" s="274"/>
      <c r="C48" s="274"/>
      <c r="D48" s="274"/>
      <c r="E48" s="274"/>
      <c r="F48" s="311" t="s">
        <v>195</v>
      </c>
      <c r="G48" s="311"/>
      <c r="H48" s="86"/>
      <c r="I48" s="86"/>
      <c r="J48" s="86"/>
      <c r="K48" s="126" t="s">
        <v>73</v>
      </c>
      <c r="L48" s="265">
        <v>0</v>
      </c>
      <c r="M48" s="273"/>
      <c r="N48" s="266"/>
      <c r="O48" s="243" t="s">
        <v>74</v>
      </c>
      <c r="P48" s="251"/>
      <c r="AC48" s="98" t="s">
        <v>266</v>
      </c>
      <c r="AD48" s="84">
        <f>AE41</f>
        <v>7</v>
      </c>
      <c r="AE48" s="49" t="s">
        <v>310</v>
      </c>
      <c r="AG48" s="98" t="s">
        <v>266</v>
      </c>
      <c r="AH48" s="84">
        <f>AE41</f>
        <v>7</v>
      </c>
      <c r="AI48" s="92" t="s">
        <v>10</v>
      </c>
      <c r="AJ48" s="94">
        <f>W43</f>
        <v>0</v>
      </c>
      <c r="AN48" s="52" t="s">
        <v>266</v>
      </c>
      <c r="AO48" s="84">
        <f>AP41</f>
        <v>4</v>
      </c>
      <c r="AP48" s="49" t="s">
        <v>310</v>
      </c>
      <c r="AR48" s="98" t="s">
        <v>266</v>
      </c>
      <c r="AS48" s="84">
        <f>AP41</f>
        <v>4</v>
      </c>
      <c r="AT48" s="92" t="s">
        <v>10</v>
      </c>
      <c r="AU48" s="94">
        <f>Y43</f>
        <v>0</v>
      </c>
      <c r="BL48" s="62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</row>
    <row r="49" spans="22:76" ht="11.25" customHeight="1">
      <c r="V49" s="98" t="s">
        <v>295</v>
      </c>
      <c r="W49" s="298">
        <f>AD51/(AD50*10^(-3))</f>
        <v>6</v>
      </c>
      <c r="X49" s="298"/>
      <c r="Y49" s="46" t="s">
        <v>53</v>
      </c>
      <c r="AC49" s="295" t="s">
        <v>128</v>
      </c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BL49" s="62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</row>
    <row r="50" spans="1:76" ht="12.75" customHeight="1">
      <c r="A50" s="193" t="s">
        <v>70</v>
      </c>
      <c r="B50" s="248">
        <f>VLOOKUP(F48,TGK!L3:N27,2,0)</f>
        <v>1.26708</v>
      </c>
      <c r="C50" s="248"/>
      <c r="D50" s="109" t="s">
        <v>61</v>
      </c>
      <c r="F50" s="253" t="s">
        <v>279</v>
      </c>
      <c r="G50" s="240" t="s">
        <v>280</v>
      </c>
      <c r="H50" s="240"/>
      <c r="I50" s="240"/>
      <c r="J50" s="240"/>
      <c r="K50" s="253" t="s">
        <v>7</v>
      </c>
      <c r="L50" s="84">
        <f>L48</f>
        <v>0</v>
      </c>
      <c r="M50" s="92" t="s">
        <v>10</v>
      </c>
      <c r="N50" s="91">
        <f>B50</f>
        <v>1.26708</v>
      </c>
      <c r="O50" s="92" t="s">
        <v>10</v>
      </c>
      <c r="P50" s="84">
        <v>100</v>
      </c>
      <c r="V50" s="98" t="s">
        <v>296</v>
      </c>
      <c r="W50" s="298">
        <f>W49</f>
        <v>6</v>
      </c>
      <c r="X50" s="298"/>
      <c r="Y50" s="46" t="s">
        <v>53</v>
      </c>
      <c r="AC50" s="126" t="s">
        <v>249</v>
      </c>
      <c r="AD50" s="61">
        <v>1000</v>
      </c>
      <c r="AE50" s="45" t="s">
        <v>20</v>
      </c>
      <c r="AH50" s="253" t="s">
        <v>312</v>
      </c>
      <c r="AI50" s="253"/>
      <c r="AJ50" s="253" t="s">
        <v>313</v>
      </c>
      <c r="AK50" s="253"/>
      <c r="AL50" s="253" t="s">
        <v>314</v>
      </c>
      <c r="AM50" s="82" t="s">
        <v>297</v>
      </c>
      <c r="AN50" s="253" t="s">
        <v>7</v>
      </c>
      <c r="AO50" s="93">
        <f>AD51</f>
        <v>6</v>
      </c>
      <c r="BL50" s="62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</row>
    <row r="51" spans="1:41" ht="15" customHeight="1">
      <c r="A51" s="193" t="s">
        <v>71</v>
      </c>
      <c r="B51" s="248">
        <f>VLOOKUP(F48,TGK!L3:N27,3,0)</f>
        <v>0.4644</v>
      </c>
      <c r="C51" s="248"/>
      <c r="D51" s="109" t="s">
        <v>61</v>
      </c>
      <c r="F51" s="253"/>
      <c r="G51" s="248" t="s">
        <v>258</v>
      </c>
      <c r="H51" s="248"/>
      <c r="I51" s="248"/>
      <c r="J51" s="248"/>
      <c r="K51" s="253"/>
      <c r="L51" s="79"/>
      <c r="M51" s="79"/>
      <c r="N51" s="79">
        <f>B15</f>
        <v>34.5</v>
      </c>
      <c r="O51" s="80">
        <v>2</v>
      </c>
      <c r="P51" s="79"/>
      <c r="R51" s="72">
        <v>1</v>
      </c>
      <c r="V51" s="98" t="s">
        <v>298</v>
      </c>
      <c r="W51" s="298">
        <f>W49</f>
        <v>6</v>
      </c>
      <c r="X51" s="298"/>
      <c r="Y51" s="46" t="s">
        <v>53</v>
      </c>
      <c r="AC51" s="126" t="s">
        <v>240</v>
      </c>
      <c r="AD51" s="61">
        <v>6</v>
      </c>
      <c r="AE51" s="45" t="s">
        <v>41</v>
      </c>
      <c r="AH51" s="253"/>
      <c r="AI51" s="253"/>
      <c r="AJ51" s="253"/>
      <c r="AK51" s="253"/>
      <c r="AL51" s="253"/>
      <c r="AM51" s="84" t="s">
        <v>250</v>
      </c>
      <c r="AN51" s="253"/>
      <c r="AO51" s="90">
        <f>AD50/10^3</f>
        <v>1</v>
      </c>
    </row>
    <row r="52" spans="1:40" ht="12.75" customHeight="1">
      <c r="A52" s="193" t="s">
        <v>281</v>
      </c>
      <c r="B52" s="248" t="s">
        <v>75</v>
      </c>
      <c r="C52" s="248"/>
      <c r="D52" s="109" t="s">
        <v>61</v>
      </c>
      <c r="F52" s="253" t="s">
        <v>282</v>
      </c>
      <c r="G52" s="240" t="s">
        <v>283</v>
      </c>
      <c r="H52" s="240"/>
      <c r="I52" s="240"/>
      <c r="J52" s="240"/>
      <c r="K52" s="253" t="s">
        <v>7</v>
      </c>
      <c r="L52" s="84">
        <f>L48</f>
        <v>0</v>
      </c>
      <c r="M52" s="92" t="s">
        <v>10</v>
      </c>
      <c r="N52" s="84">
        <f>B50+0.15</f>
        <v>1.41708</v>
      </c>
      <c r="O52" s="92" t="s">
        <v>10</v>
      </c>
      <c r="P52" s="84">
        <v>100</v>
      </c>
      <c r="AH52" s="248" t="s">
        <v>315</v>
      </c>
      <c r="AI52" s="248"/>
      <c r="AJ52" s="248" t="s">
        <v>316</v>
      </c>
      <c r="AK52" s="248"/>
      <c r="AL52" s="49" t="s">
        <v>317</v>
      </c>
      <c r="AM52" s="87">
        <v>0</v>
      </c>
      <c r="AN52" s="87"/>
    </row>
    <row r="53" spans="1:28" ht="15" customHeight="1">
      <c r="A53" s="244" t="s">
        <v>307</v>
      </c>
      <c r="B53" s="244"/>
      <c r="C53" s="69">
        <f>VLOOKUP(E46,TGK!T2:U7,2,0)</f>
        <v>2.9</v>
      </c>
      <c r="D53" s="69"/>
      <c r="F53" s="253"/>
      <c r="G53" s="248" t="s">
        <v>258</v>
      </c>
      <c r="H53" s="248"/>
      <c r="I53" s="248"/>
      <c r="J53" s="248"/>
      <c r="K53" s="253"/>
      <c r="L53" s="79"/>
      <c r="M53" s="79"/>
      <c r="N53" s="79">
        <f>B15</f>
        <v>34.5</v>
      </c>
      <c r="O53" s="80">
        <v>2</v>
      </c>
      <c r="P53" s="79"/>
      <c r="W53" s="46"/>
      <c r="X53" s="46"/>
      <c r="Y53" s="46"/>
      <c r="Z53" s="46"/>
      <c r="AA53" s="46"/>
      <c r="AB53" s="46"/>
    </row>
    <row r="54" spans="1:28" ht="12.75" customHeight="1">
      <c r="A54" s="251" t="s">
        <v>284</v>
      </c>
      <c r="B54" s="251"/>
      <c r="F54" s="253" t="s">
        <v>285</v>
      </c>
      <c r="G54" s="240" t="s">
        <v>286</v>
      </c>
      <c r="H54" s="240"/>
      <c r="I54" s="240"/>
      <c r="J54" s="240"/>
      <c r="K54" s="253" t="s">
        <v>7</v>
      </c>
      <c r="L54" s="84">
        <f>L48</f>
        <v>0</v>
      </c>
      <c r="M54" s="92" t="s">
        <v>10</v>
      </c>
      <c r="N54" s="84">
        <f>B51</f>
        <v>0.4644</v>
      </c>
      <c r="O54" s="92" t="s">
        <v>10</v>
      </c>
      <c r="P54" s="84">
        <v>100</v>
      </c>
      <c r="Z54" s="46"/>
      <c r="AA54" s="46"/>
      <c r="AB54" s="46"/>
    </row>
    <row r="55" spans="1:28" ht="15" customHeight="1">
      <c r="A55" s="251" t="s">
        <v>287</v>
      </c>
      <c r="B55" s="251"/>
      <c r="F55" s="253"/>
      <c r="G55" s="248" t="s">
        <v>258</v>
      </c>
      <c r="H55" s="248"/>
      <c r="I55" s="248"/>
      <c r="J55" s="248"/>
      <c r="K55" s="253"/>
      <c r="L55" s="79"/>
      <c r="M55" s="79"/>
      <c r="N55" s="79">
        <f>B15</f>
        <v>34.5</v>
      </c>
      <c r="O55" s="80">
        <v>2</v>
      </c>
      <c r="P55" s="79"/>
      <c r="Z55" s="46"/>
      <c r="AA55" s="46"/>
      <c r="AB55" s="46"/>
    </row>
    <row r="56" spans="6:28" ht="13.5" customHeight="1">
      <c r="F56" s="49" t="s">
        <v>288</v>
      </c>
      <c r="G56" s="73">
        <f>C53</f>
        <v>2.9</v>
      </c>
      <c r="H56" s="49" t="s">
        <v>309</v>
      </c>
      <c r="I56" s="49"/>
      <c r="L56" s="309" t="s">
        <v>288</v>
      </c>
      <c r="M56" s="309"/>
      <c r="N56" s="70">
        <f>C53</f>
        <v>2.9</v>
      </c>
      <c r="O56" s="71" t="s">
        <v>10</v>
      </c>
      <c r="P56" s="94">
        <f>W28</f>
        <v>0</v>
      </c>
      <c r="R56" s="72"/>
      <c r="Z56" s="46"/>
      <c r="AA56" s="46"/>
      <c r="AB56" s="46"/>
    </row>
    <row r="57" ht="12.75" customHeight="1">
      <c r="R57" s="72">
        <v>2</v>
      </c>
    </row>
  </sheetData>
  <sheetProtection/>
  <mergeCells count="406">
    <mergeCell ref="BC40:BF40"/>
    <mergeCell ref="BI40:BI41"/>
    <mergeCell ref="BI42:BI43"/>
    <mergeCell ref="BJ42:BJ43"/>
    <mergeCell ref="BC42:BC43"/>
    <mergeCell ref="BO40:BR40"/>
    <mergeCell ref="BM27:BN27"/>
    <mergeCell ref="BU40:BU41"/>
    <mergeCell ref="BN42:BN43"/>
    <mergeCell ref="BO42:BO43"/>
    <mergeCell ref="BU42:BU43"/>
    <mergeCell ref="BV42:BV43"/>
    <mergeCell ref="BF9:BG10"/>
    <mergeCell ref="BM47:BO47"/>
    <mergeCell ref="BP47:BQ47"/>
    <mergeCell ref="BD47:BE47"/>
    <mergeCell ref="BQ31:BR31"/>
    <mergeCell ref="BO33:BR33"/>
    <mergeCell ref="BQ36:BR36"/>
    <mergeCell ref="BM38:BO38"/>
    <mergeCell ref="BP38:BQ38"/>
    <mergeCell ref="BE9:BE10"/>
    <mergeCell ref="AZ3:BG3"/>
    <mergeCell ref="BA4:BC4"/>
    <mergeCell ref="BF4:BG4"/>
    <mergeCell ref="AZ6:AZ7"/>
    <mergeCell ref="BC7:BD7"/>
    <mergeCell ref="BA6:BD6"/>
    <mergeCell ref="BB42:BB43"/>
    <mergeCell ref="BA47:BC47"/>
    <mergeCell ref="AZ1:BV1"/>
    <mergeCell ref="AZ2:BK2"/>
    <mergeCell ref="BL2:BV2"/>
    <mergeCell ref="BA17:BC17"/>
    <mergeCell ref="BF17:BG17"/>
    <mergeCell ref="AZ19:AZ20"/>
    <mergeCell ref="BA19:BD19"/>
    <mergeCell ref="BE19:BE20"/>
    <mergeCell ref="AN40:AO40"/>
    <mergeCell ref="AN34:AW34"/>
    <mergeCell ref="AZ29:BX29"/>
    <mergeCell ref="AZ30:BK30"/>
    <mergeCell ref="BL30:BX30"/>
    <mergeCell ref="BE31:BF31"/>
    <mergeCell ref="BC33:BF33"/>
    <mergeCell ref="BE36:BF36"/>
    <mergeCell ref="BA38:BC38"/>
    <mergeCell ref="BD38:BE38"/>
    <mergeCell ref="AZ16:BG16"/>
    <mergeCell ref="BA28:BC28"/>
    <mergeCell ref="AO38:AP38"/>
    <mergeCell ref="BD28:BE28"/>
    <mergeCell ref="BF28:BK28"/>
    <mergeCell ref="AZ22:AZ23"/>
    <mergeCell ref="AO31:AQ31"/>
    <mergeCell ref="BF19:BG20"/>
    <mergeCell ref="BC20:BD20"/>
    <mergeCell ref="AH52:AI52"/>
    <mergeCell ref="AJ52:AK52"/>
    <mergeCell ref="AH50:AI51"/>
    <mergeCell ref="AJ50:AK51"/>
    <mergeCell ref="AL50:AL51"/>
    <mergeCell ref="AN41:AO41"/>
    <mergeCell ref="AR36:AU36"/>
    <mergeCell ref="AO37:AP37"/>
    <mergeCell ref="AR19:AU19"/>
    <mergeCell ref="AN20:AQ20"/>
    <mergeCell ref="AR20:AU20"/>
    <mergeCell ref="AO21:AP21"/>
    <mergeCell ref="AO22:AP22"/>
    <mergeCell ref="AO30:AQ30"/>
    <mergeCell ref="AR30:AR31"/>
    <mergeCell ref="AR39:AV39"/>
    <mergeCell ref="AN23:AQ23"/>
    <mergeCell ref="AN24:AO24"/>
    <mergeCell ref="AN25:AO25"/>
    <mergeCell ref="AN18:AW18"/>
    <mergeCell ref="AN19:AQ19"/>
    <mergeCell ref="AR23:AV23"/>
    <mergeCell ref="AN35:AQ35"/>
    <mergeCell ref="AR35:AU35"/>
    <mergeCell ref="AN36:AQ36"/>
    <mergeCell ref="AO12:AQ12"/>
    <mergeCell ref="AN14:AN15"/>
    <mergeCell ref="AO14:AQ14"/>
    <mergeCell ref="AO6:AP6"/>
    <mergeCell ref="AN7:AQ7"/>
    <mergeCell ref="BE6:BE7"/>
    <mergeCell ref="AZ9:AZ10"/>
    <mergeCell ref="BB9:BB10"/>
    <mergeCell ref="BC10:BD10"/>
    <mergeCell ref="BC9:BD9"/>
    <mergeCell ref="AD27:AF27"/>
    <mergeCell ref="AC46:AC47"/>
    <mergeCell ref="BF6:BG7"/>
    <mergeCell ref="BA12:BC12"/>
    <mergeCell ref="BE12:BF12"/>
    <mergeCell ref="BA14:BC14"/>
    <mergeCell ref="BD14:BE14"/>
    <mergeCell ref="AN11:AN12"/>
    <mergeCell ref="AO11:AQ11"/>
    <mergeCell ref="AR11:AR12"/>
    <mergeCell ref="AC25:AD25"/>
    <mergeCell ref="AC34:AL34"/>
    <mergeCell ref="AD37:AE37"/>
    <mergeCell ref="AC41:AD41"/>
    <mergeCell ref="AD38:AE38"/>
    <mergeCell ref="AG23:AK23"/>
    <mergeCell ref="AC40:AD40"/>
    <mergeCell ref="AC35:AF35"/>
    <mergeCell ref="AG35:AJ35"/>
    <mergeCell ref="AC27:AC28"/>
    <mergeCell ref="Y44:Z44"/>
    <mergeCell ref="Y45:Z45"/>
    <mergeCell ref="Y46:Z46"/>
    <mergeCell ref="AC18:AL18"/>
    <mergeCell ref="AC19:AF19"/>
    <mergeCell ref="AG19:AJ19"/>
    <mergeCell ref="AC20:AF20"/>
    <mergeCell ref="AG20:AJ20"/>
    <mergeCell ref="AD21:AE21"/>
    <mergeCell ref="AD22:AE22"/>
    <mergeCell ref="Y43:Z43"/>
    <mergeCell ref="T35:U35"/>
    <mergeCell ref="AN8:AO8"/>
    <mergeCell ref="AN9:AO9"/>
    <mergeCell ref="AC39:AF39"/>
    <mergeCell ref="AG39:AK39"/>
    <mergeCell ref="AN39:AQ39"/>
    <mergeCell ref="W29:X29"/>
    <mergeCell ref="W30:X30"/>
    <mergeCell ref="AC23:AF23"/>
    <mergeCell ref="Y37:Z37"/>
    <mergeCell ref="Y38:Z38"/>
    <mergeCell ref="Y39:Z39"/>
    <mergeCell ref="Y40:Z40"/>
    <mergeCell ref="Y41:Z41"/>
    <mergeCell ref="Y42:Z42"/>
    <mergeCell ref="AD5:AE5"/>
    <mergeCell ref="AG7:AK7"/>
    <mergeCell ref="AR7:AV7"/>
    <mergeCell ref="AG11:AG12"/>
    <mergeCell ref="T39:U39"/>
    <mergeCell ref="T43:U43"/>
    <mergeCell ref="W34:X34"/>
    <mergeCell ref="Y34:Z34"/>
    <mergeCell ref="Y35:Z35"/>
    <mergeCell ref="Y36:Z36"/>
    <mergeCell ref="AO5:AP5"/>
    <mergeCell ref="AN2:AW2"/>
    <mergeCell ref="AN3:AQ3"/>
    <mergeCell ref="AR3:AU3"/>
    <mergeCell ref="AC3:AF3"/>
    <mergeCell ref="AC4:AF4"/>
    <mergeCell ref="AG3:AJ3"/>
    <mergeCell ref="AG4:AJ4"/>
    <mergeCell ref="AN4:AQ4"/>
    <mergeCell ref="AR4:AU4"/>
    <mergeCell ref="W6:X6"/>
    <mergeCell ref="W8:X8"/>
    <mergeCell ref="W11:X11"/>
    <mergeCell ref="W21:X21"/>
    <mergeCell ref="A20:C20"/>
    <mergeCell ref="E20:M20"/>
    <mergeCell ref="W5:X5"/>
    <mergeCell ref="B3:C3"/>
    <mergeCell ref="A4:C4"/>
    <mergeCell ref="A5:C5"/>
    <mergeCell ref="A6:C6"/>
    <mergeCell ref="H11:I11"/>
    <mergeCell ref="W3:X3"/>
    <mergeCell ref="W4:X4"/>
    <mergeCell ref="L3:M3"/>
    <mergeCell ref="B9:C9"/>
    <mergeCell ref="K16:K17"/>
    <mergeCell ref="W31:X31"/>
    <mergeCell ref="W32:X32"/>
    <mergeCell ref="W33:X33"/>
    <mergeCell ref="W35:X35"/>
    <mergeCell ref="W7:X7"/>
    <mergeCell ref="T22:U22"/>
    <mergeCell ref="R2:S2"/>
    <mergeCell ref="W10:X10"/>
    <mergeCell ref="W12:X12"/>
    <mergeCell ref="A14:C14"/>
    <mergeCell ref="E14:F14"/>
    <mergeCell ref="B16:C16"/>
    <mergeCell ref="K14:K15"/>
    <mergeCell ref="L15:N15"/>
    <mergeCell ref="B15:C15"/>
    <mergeCell ref="W14:X14"/>
    <mergeCell ref="J9:K10"/>
    <mergeCell ref="L9:M10"/>
    <mergeCell ref="A7:C7"/>
    <mergeCell ref="B2:C2"/>
    <mergeCell ref="L2:M2"/>
    <mergeCell ref="J2:K3"/>
    <mergeCell ref="J4:K4"/>
    <mergeCell ref="J5:K5"/>
    <mergeCell ref="B10:C10"/>
    <mergeCell ref="H9:I10"/>
    <mergeCell ref="A33:C33"/>
    <mergeCell ref="E33:M33"/>
    <mergeCell ref="A35:E35"/>
    <mergeCell ref="F35:G35"/>
    <mergeCell ref="A1:Q1"/>
    <mergeCell ref="A8:Q8"/>
    <mergeCell ref="A13:Q13"/>
    <mergeCell ref="A19:Q19"/>
    <mergeCell ref="L11:M11"/>
    <mergeCell ref="J11:K11"/>
    <mergeCell ref="B26:C26"/>
    <mergeCell ref="B24:C24"/>
    <mergeCell ref="B25:C25"/>
    <mergeCell ref="A22:E22"/>
    <mergeCell ref="F22:G22"/>
    <mergeCell ref="Q24:R24"/>
    <mergeCell ref="K24:K25"/>
    <mergeCell ref="K52:K53"/>
    <mergeCell ref="K54:K55"/>
    <mergeCell ref="L56:M56"/>
    <mergeCell ref="A32:Q32"/>
    <mergeCell ref="L22:N22"/>
    <mergeCell ref="O22:P22"/>
    <mergeCell ref="A28:B28"/>
    <mergeCell ref="A29:B29"/>
    <mergeCell ref="L30:M30"/>
    <mergeCell ref="A27:B27"/>
    <mergeCell ref="F54:F55"/>
    <mergeCell ref="G54:J54"/>
    <mergeCell ref="G55:J55"/>
    <mergeCell ref="A45:Q45"/>
    <mergeCell ref="A46:C46"/>
    <mergeCell ref="E46:M46"/>
    <mergeCell ref="A48:E48"/>
    <mergeCell ref="F48:G48"/>
    <mergeCell ref="L48:N48"/>
    <mergeCell ref="O48:P48"/>
    <mergeCell ref="B52:C52"/>
    <mergeCell ref="A53:B53"/>
    <mergeCell ref="A54:B54"/>
    <mergeCell ref="A55:B55"/>
    <mergeCell ref="F50:F51"/>
    <mergeCell ref="G50:J50"/>
    <mergeCell ref="G51:J51"/>
    <mergeCell ref="F52:F53"/>
    <mergeCell ref="G52:J52"/>
    <mergeCell ref="G53:J53"/>
    <mergeCell ref="G41:J41"/>
    <mergeCell ref="K41:K42"/>
    <mergeCell ref="L35:N35"/>
    <mergeCell ref="G42:J42"/>
    <mergeCell ref="B50:C50"/>
    <mergeCell ref="B51:C51"/>
    <mergeCell ref="K50:K51"/>
    <mergeCell ref="B37:C37"/>
    <mergeCell ref="B38:C38"/>
    <mergeCell ref="W36:X36"/>
    <mergeCell ref="B39:C39"/>
    <mergeCell ref="A40:B40"/>
    <mergeCell ref="A41:B41"/>
    <mergeCell ref="A42:B42"/>
    <mergeCell ref="F39:F40"/>
    <mergeCell ref="G39:J39"/>
    <mergeCell ref="K39:K40"/>
    <mergeCell ref="G40:J40"/>
    <mergeCell ref="F41:F42"/>
    <mergeCell ref="W50:X50"/>
    <mergeCell ref="W51:X51"/>
    <mergeCell ref="W43:X43"/>
    <mergeCell ref="W44:X44"/>
    <mergeCell ref="W45:X45"/>
    <mergeCell ref="W40:X40"/>
    <mergeCell ref="W41:X41"/>
    <mergeCell ref="W42:X42"/>
    <mergeCell ref="W49:X49"/>
    <mergeCell ref="W46:X46"/>
    <mergeCell ref="BL17:BL18"/>
    <mergeCell ref="BM19:BO19"/>
    <mergeCell ref="BR19:BS19"/>
    <mergeCell ref="L43:M43"/>
    <mergeCell ref="BC23:BD23"/>
    <mergeCell ref="BA25:BC25"/>
    <mergeCell ref="BE25:BF25"/>
    <mergeCell ref="BA27:BC27"/>
    <mergeCell ref="BD27:BE27"/>
    <mergeCell ref="BF27:BK27"/>
    <mergeCell ref="BM12:BO12"/>
    <mergeCell ref="BQ12:BR12"/>
    <mergeCell ref="BM14:BO14"/>
    <mergeCell ref="BP14:BQ14"/>
    <mergeCell ref="BM4:BN4"/>
    <mergeCell ref="BL16:BS16"/>
    <mergeCell ref="BL9:BL10"/>
    <mergeCell ref="BN9:BN10"/>
    <mergeCell ref="BO9:BP9"/>
    <mergeCell ref="BQ9:BQ10"/>
    <mergeCell ref="BR9:BS10"/>
    <mergeCell ref="BO10:BP10"/>
    <mergeCell ref="BL3:BS3"/>
    <mergeCell ref="BL6:BL7"/>
    <mergeCell ref="BM6:BP6"/>
    <mergeCell ref="BQ6:BQ7"/>
    <mergeCell ref="BR6:BS7"/>
    <mergeCell ref="BO7:BP7"/>
    <mergeCell ref="BN22:BN23"/>
    <mergeCell ref="BO22:BQ22"/>
    <mergeCell ref="BU20:BU21"/>
    <mergeCell ref="BM20:BO20"/>
    <mergeCell ref="BR20:BS20"/>
    <mergeCell ref="BN17:BN18"/>
    <mergeCell ref="BP17:BP18"/>
    <mergeCell ref="BQ17:BR18"/>
    <mergeCell ref="BO23:BQ23"/>
    <mergeCell ref="F24:F25"/>
    <mergeCell ref="F26:F27"/>
    <mergeCell ref="F28:F29"/>
    <mergeCell ref="O35:P35"/>
    <mergeCell ref="BL22:BL23"/>
    <mergeCell ref="BM22:BM23"/>
    <mergeCell ref="W23:X23"/>
    <mergeCell ref="W24:X24"/>
    <mergeCell ref="W25:X25"/>
    <mergeCell ref="AC24:AD24"/>
    <mergeCell ref="G24:J24"/>
    <mergeCell ref="G25:J25"/>
    <mergeCell ref="G26:J26"/>
    <mergeCell ref="G27:J27"/>
    <mergeCell ref="G28:J28"/>
    <mergeCell ref="G29:J29"/>
    <mergeCell ref="F37:F38"/>
    <mergeCell ref="G37:J37"/>
    <mergeCell ref="K37:K38"/>
    <mergeCell ref="G38:J38"/>
    <mergeCell ref="K26:K27"/>
    <mergeCell ref="K28:K29"/>
    <mergeCell ref="T16:U16"/>
    <mergeCell ref="T2:V2"/>
    <mergeCell ref="BL25:BL26"/>
    <mergeCell ref="BM25:BM26"/>
    <mergeCell ref="BN25:BN26"/>
    <mergeCell ref="BO25:BQ25"/>
    <mergeCell ref="BB22:BB23"/>
    <mergeCell ref="BC22:BD22"/>
    <mergeCell ref="BE22:BE23"/>
    <mergeCell ref="BF22:BG23"/>
    <mergeCell ref="AC11:AC12"/>
    <mergeCell ref="AC14:AC15"/>
    <mergeCell ref="AD6:AE6"/>
    <mergeCell ref="AC7:AF7"/>
    <mergeCell ref="AD28:AF28"/>
    <mergeCell ref="W17:X17"/>
    <mergeCell ref="W18:X18"/>
    <mergeCell ref="W19:X19"/>
    <mergeCell ref="W20:X20"/>
    <mergeCell ref="W16:X16"/>
    <mergeCell ref="AC2:AL2"/>
    <mergeCell ref="AC9:AD9"/>
    <mergeCell ref="W22:X22"/>
    <mergeCell ref="W26:X26"/>
    <mergeCell ref="AG14:AG15"/>
    <mergeCell ref="AD11:AF11"/>
    <mergeCell ref="AC8:AD8"/>
    <mergeCell ref="AD12:AF12"/>
    <mergeCell ref="AD14:AF14"/>
    <mergeCell ref="AD15:AF15"/>
    <mergeCell ref="AG43:AG44"/>
    <mergeCell ref="AD44:AF44"/>
    <mergeCell ref="AC36:AF36"/>
    <mergeCell ref="AG36:AJ36"/>
    <mergeCell ref="T28:U28"/>
    <mergeCell ref="W27:X27"/>
    <mergeCell ref="W28:X28"/>
    <mergeCell ref="W37:X37"/>
    <mergeCell ref="W38:X38"/>
    <mergeCell ref="W39:X39"/>
    <mergeCell ref="AD46:AF46"/>
    <mergeCell ref="AG46:AG47"/>
    <mergeCell ref="AD47:AF47"/>
    <mergeCell ref="AG27:AG28"/>
    <mergeCell ref="AC30:AC31"/>
    <mergeCell ref="AD30:AF30"/>
    <mergeCell ref="AG30:AG31"/>
    <mergeCell ref="AD31:AF31"/>
    <mergeCell ref="AC43:AC44"/>
    <mergeCell ref="AD43:AF43"/>
    <mergeCell ref="AO46:AQ46"/>
    <mergeCell ref="AR46:AR47"/>
    <mergeCell ref="AO47:AQ47"/>
    <mergeCell ref="AR14:AR15"/>
    <mergeCell ref="AO15:AQ15"/>
    <mergeCell ref="AN27:AN28"/>
    <mergeCell ref="AO27:AQ27"/>
    <mergeCell ref="AR27:AR28"/>
    <mergeCell ref="AO28:AQ28"/>
    <mergeCell ref="AN30:AN31"/>
    <mergeCell ref="AC1:AX1"/>
    <mergeCell ref="AC17:AX17"/>
    <mergeCell ref="AC33:AX33"/>
    <mergeCell ref="AC49:AX49"/>
    <mergeCell ref="AN50:AN51"/>
    <mergeCell ref="AN43:AN44"/>
    <mergeCell ref="AO43:AQ43"/>
    <mergeCell ref="AR43:AR44"/>
    <mergeCell ref="AO44:AQ44"/>
    <mergeCell ref="AN46:AN47"/>
  </mergeCells>
  <dataValidations count="6">
    <dataValidation type="list" allowBlank="1" showInputMessage="1" showErrorMessage="1" sqref="AR3:AU3 AR35:AU35 AG35:AJ35 AR19:AU19 AG19:AJ19 AG3:AJ3">
      <formula1>KABLOKESİT</formula1>
    </dataValidation>
    <dataValidation type="list" allowBlank="1" showInputMessage="1" showErrorMessage="1" sqref="AR4:AU4 AR36:AU36 AG36:AJ36 AR20:AU20 AG20:AJ20 AG4:AJ4">
      <formula1>KABLOTERTİP</formula1>
    </dataValidation>
    <dataValidation type="list" allowBlank="1" showInputMessage="1" showErrorMessage="1" sqref="AG23 AR39 AG39 AR7 AR23 AG7">
      <formula1>DMRKST</formula1>
    </dataValidation>
    <dataValidation type="list" allowBlank="1" showInputMessage="1" showErrorMessage="1" sqref="F22:G22 F48:G48 F35:G35">
      <formula1>HAVAİHAT1</formula1>
    </dataValidation>
    <dataValidation type="list" allowBlank="1" showInputMessage="1" showErrorMessage="1" sqref="H20:J22 E46:G47 H46:J48 E20:G21 H33:J35 E33:G34">
      <formula1>HATYAPISI</formula1>
    </dataValidation>
    <dataValidation type="list" allowBlank="1" showInputMessage="1" showErrorMessage="1" sqref="E14:F14">
      <formula1>HAVAİ</formula1>
    </dataValidation>
  </dataValidations>
  <printOptions/>
  <pageMargins left="0.91" right="0.7" top="0.75" bottom="0.75" header="0.26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Y28"/>
  <sheetViews>
    <sheetView zoomScalePageLayoutView="0" workbookViewId="0" topLeftCell="A1">
      <selection activeCell="O12" sqref="O12:Q12"/>
    </sheetView>
  </sheetViews>
  <sheetFormatPr defaultColWidth="3.7109375" defaultRowHeight="12" customHeight="1"/>
  <cols>
    <col min="1" max="1" width="3.7109375" style="45" customWidth="1"/>
    <col min="2" max="2" width="4.28125" style="45" customWidth="1"/>
    <col min="3" max="3" width="1.1484375" style="45" customWidth="1"/>
    <col min="4" max="4" width="3.7109375" style="45" customWidth="1"/>
    <col min="5" max="5" width="3.57421875" style="45" customWidth="1"/>
    <col min="6" max="6" width="1.28515625" style="45" customWidth="1"/>
    <col min="7" max="7" width="4.28125" style="45" customWidth="1"/>
    <col min="8" max="8" width="1.1484375" style="45" customWidth="1"/>
    <col min="9" max="9" width="2.8515625" style="45" customWidth="1"/>
    <col min="10" max="14" width="3.7109375" style="45" customWidth="1"/>
    <col min="15" max="15" width="4.140625" style="45" customWidth="1"/>
    <col min="16" max="16" width="0.9921875" style="45" customWidth="1"/>
    <col min="17" max="18" width="3.7109375" style="45" customWidth="1"/>
    <col min="19" max="19" width="1.28515625" style="45" customWidth="1"/>
    <col min="20" max="20" width="4.57421875" style="45" customWidth="1"/>
    <col min="21" max="21" width="0.9921875" style="45" customWidth="1"/>
    <col min="22" max="16384" width="3.7109375" style="45" customWidth="1"/>
  </cols>
  <sheetData>
    <row r="1" spans="1:25" ht="15" customHeight="1">
      <c r="A1" s="327" t="s">
        <v>360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</row>
    <row r="2" spans="1:25" ht="12" customHeight="1">
      <c r="A2" s="283" t="s">
        <v>361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72"/>
      <c r="M2" s="72"/>
      <c r="N2" s="246" t="s">
        <v>362</v>
      </c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</row>
    <row r="3" spans="1:25" ht="12" customHeight="1">
      <c r="A3" s="136" t="s">
        <v>222</v>
      </c>
      <c r="B3" s="265">
        <v>34.5</v>
      </c>
      <c r="C3" s="266"/>
      <c r="D3" s="87" t="s">
        <v>38</v>
      </c>
      <c r="E3" s="72"/>
      <c r="F3" s="72"/>
      <c r="G3" s="72"/>
      <c r="H3" s="72"/>
      <c r="I3" s="72"/>
      <c r="J3" s="72"/>
      <c r="K3" s="72"/>
      <c r="L3" s="72"/>
      <c r="M3" s="72"/>
      <c r="N3" s="137" t="s">
        <v>222</v>
      </c>
      <c r="O3" s="265">
        <v>0.4</v>
      </c>
      <c r="P3" s="266"/>
      <c r="Q3" s="99" t="s">
        <v>38</v>
      </c>
      <c r="R3" s="105"/>
      <c r="S3" s="105"/>
      <c r="T3" s="105"/>
      <c r="U3" s="105"/>
      <c r="V3" s="105"/>
      <c r="W3" s="105"/>
      <c r="X3" s="105"/>
      <c r="Y3" s="105"/>
    </row>
    <row r="4" spans="1:25" ht="12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04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25" ht="12" customHeight="1">
      <c r="A5" s="328" t="s">
        <v>363</v>
      </c>
      <c r="B5" s="240" t="s">
        <v>6</v>
      </c>
      <c r="C5" s="240"/>
      <c r="D5" s="240"/>
      <c r="E5" s="240"/>
      <c r="F5" s="239" t="s">
        <v>7</v>
      </c>
      <c r="G5" s="240">
        <f>TRAFO_GÜCÜ!D33</f>
        <v>1000</v>
      </c>
      <c r="H5" s="240"/>
      <c r="I5" s="240"/>
      <c r="J5" s="240"/>
      <c r="N5" s="255" t="s">
        <v>363</v>
      </c>
      <c r="O5" s="240" t="s">
        <v>6</v>
      </c>
      <c r="P5" s="240"/>
      <c r="Q5" s="240"/>
      <c r="R5" s="240"/>
      <c r="S5" s="239" t="s">
        <v>7</v>
      </c>
      <c r="T5" s="240">
        <f>TRAFO_GÜCÜ!D33</f>
        <v>1000</v>
      </c>
      <c r="U5" s="240"/>
      <c r="V5" s="240"/>
      <c r="W5" s="240"/>
      <c r="X5" s="48"/>
      <c r="Y5" s="48"/>
    </row>
    <row r="6" spans="1:25" ht="12" customHeight="1">
      <c r="A6" s="328"/>
      <c r="B6" s="84">
        <f>SQRT(3)</f>
        <v>1.7320508075688772</v>
      </c>
      <c r="C6" s="92" t="s">
        <v>10</v>
      </c>
      <c r="D6" s="257" t="s">
        <v>364</v>
      </c>
      <c r="E6" s="257"/>
      <c r="F6" s="239"/>
      <c r="G6" s="45">
        <f>B6</f>
        <v>1.7320508075688772</v>
      </c>
      <c r="H6" s="92" t="s">
        <v>10</v>
      </c>
      <c r="I6" s="248">
        <f>B3</f>
        <v>34.5</v>
      </c>
      <c r="J6" s="248"/>
      <c r="N6" s="255"/>
      <c r="O6" s="86">
        <f>SQRT(3)</f>
        <v>1.7320508075688772</v>
      </c>
      <c r="P6" s="65" t="s">
        <v>10</v>
      </c>
      <c r="Q6" s="257" t="s">
        <v>364</v>
      </c>
      <c r="R6" s="257"/>
      <c r="S6" s="239"/>
      <c r="T6" s="48">
        <f>O6</f>
        <v>1.7320508075688772</v>
      </c>
      <c r="U6" s="65" t="s">
        <v>10</v>
      </c>
      <c r="V6" s="241">
        <f>O3</f>
        <v>0.4</v>
      </c>
      <c r="W6" s="241"/>
      <c r="X6" s="48"/>
      <c r="Y6" s="48"/>
    </row>
    <row r="7" spans="14:25" ht="12" customHeight="1">
      <c r="N7" s="62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 ht="14.25" customHeight="1">
      <c r="A8" s="78" t="s">
        <v>363</v>
      </c>
      <c r="B8" s="248">
        <f>G5/(G6*I6)</f>
        <v>16.734790411293503</v>
      </c>
      <c r="C8" s="248"/>
      <c r="D8" s="248"/>
      <c r="E8" s="45" t="s">
        <v>136</v>
      </c>
      <c r="N8" s="100" t="s">
        <v>363</v>
      </c>
      <c r="O8" s="241">
        <f>T5/(T6*V6)</f>
        <v>1443.3756729740644</v>
      </c>
      <c r="P8" s="241"/>
      <c r="Q8" s="241"/>
      <c r="R8" s="48" t="s">
        <v>136</v>
      </c>
      <c r="S8" s="48"/>
      <c r="T8" s="48"/>
      <c r="U8" s="48"/>
      <c r="V8" s="48"/>
      <c r="W8" s="48"/>
      <c r="X8" s="48"/>
      <c r="Y8" s="48"/>
    </row>
    <row r="9" spans="1:25" ht="12" customHeight="1">
      <c r="A9" s="68"/>
      <c r="N9" s="106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pans="1:25" ht="12.75" customHeight="1">
      <c r="A10" s="68" t="s">
        <v>365</v>
      </c>
      <c r="B10" s="164">
        <v>1.1</v>
      </c>
      <c r="C10" s="65" t="s">
        <v>10</v>
      </c>
      <c r="D10" s="241" t="s">
        <v>366</v>
      </c>
      <c r="E10" s="241"/>
      <c r="F10" s="168" t="s">
        <v>7</v>
      </c>
      <c r="G10" s="164">
        <v>1.1</v>
      </c>
      <c r="H10" s="65" t="s">
        <v>10</v>
      </c>
      <c r="I10" s="241">
        <f>KISADEVRE_PU!BA14</f>
        <v>5558.6639270430005</v>
      </c>
      <c r="J10" s="241"/>
      <c r="N10" s="106" t="s">
        <v>365</v>
      </c>
      <c r="O10" s="48">
        <v>1.25</v>
      </c>
      <c r="P10" s="65" t="s">
        <v>10</v>
      </c>
      <c r="Q10" s="241" t="s">
        <v>366</v>
      </c>
      <c r="R10" s="241"/>
      <c r="S10" s="95" t="s">
        <v>7</v>
      </c>
      <c r="T10" s="48">
        <v>1.25</v>
      </c>
      <c r="U10" s="65" t="s">
        <v>10</v>
      </c>
      <c r="V10" s="241">
        <f>KISADEVRE_PU!BA27</f>
        <v>22928.420041634992</v>
      </c>
      <c r="W10" s="241"/>
      <c r="X10" s="48"/>
      <c r="Y10" s="48"/>
    </row>
    <row r="11" spans="1:25" ht="12" customHeight="1">
      <c r="A11" s="68"/>
      <c r="B11"/>
      <c r="C11"/>
      <c r="D11"/>
      <c r="E11"/>
      <c r="F11" s="68"/>
      <c r="G11" s="7"/>
      <c r="H11" s="7"/>
      <c r="I11" s="7"/>
      <c r="J11" s="7"/>
      <c r="N11" s="106"/>
      <c r="S11" s="107"/>
      <c r="T11" s="48"/>
      <c r="U11" s="48"/>
      <c r="V11" s="48"/>
      <c r="W11" s="48"/>
      <c r="X11" s="48"/>
      <c r="Y11" s="48"/>
    </row>
    <row r="12" spans="1:25" ht="12" customHeight="1">
      <c r="A12" s="68" t="s">
        <v>365</v>
      </c>
      <c r="B12" s="249">
        <f>G10*I10/1000</f>
        <v>6.114530319747301</v>
      </c>
      <c r="C12" s="249"/>
      <c r="D12" s="249"/>
      <c r="E12" s="45" t="s">
        <v>367</v>
      </c>
      <c r="N12" s="106" t="s">
        <v>365</v>
      </c>
      <c r="O12" s="329">
        <f>1.25*V10/1000</f>
        <v>28.66052505204374</v>
      </c>
      <c r="P12" s="329"/>
      <c r="Q12" s="329"/>
      <c r="R12" s="48" t="s">
        <v>367</v>
      </c>
      <c r="S12" s="48"/>
      <c r="T12" s="48"/>
      <c r="U12" s="48"/>
      <c r="V12" s="48"/>
      <c r="W12" s="48"/>
      <c r="X12" s="48"/>
      <c r="Y12" s="48"/>
    </row>
    <row r="13" spans="14:25" ht="12" customHeight="1">
      <c r="N13" s="62"/>
      <c r="S13" s="48"/>
      <c r="T13" s="48"/>
      <c r="U13" s="48"/>
      <c r="V13" s="48"/>
      <c r="W13" s="48"/>
      <c r="X13" s="48"/>
      <c r="Y13" s="48"/>
    </row>
    <row r="14" spans="1:25" ht="12" customHeight="1">
      <c r="A14" s="68"/>
      <c r="B14" s="84"/>
      <c r="C14" s="84"/>
      <c r="D14" s="84"/>
      <c r="N14" s="106"/>
      <c r="O14" s="86"/>
      <c r="P14" s="86"/>
      <c r="Q14" s="86"/>
      <c r="R14" s="48"/>
      <c r="S14" s="48"/>
      <c r="T14" s="48"/>
      <c r="U14" s="48"/>
      <c r="V14" s="48"/>
      <c r="W14" s="48"/>
      <c r="X14" s="48"/>
      <c r="Y14" s="48"/>
    </row>
    <row r="15" spans="1:25" ht="12" customHeight="1">
      <c r="A15" s="251" t="s">
        <v>368</v>
      </c>
      <c r="B15" s="251"/>
      <c r="C15" s="251"/>
      <c r="D15" s="251"/>
      <c r="E15" s="251"/>
      <c r="F15" s="251"/>
      <c r="G15" s="251"/>
      <c r="H15" s="248">
        <f>INDEX(TGK!R13:R17,MATCH(B8,TGK!R13:R17,-1),1)</f>
        <v>630</v>
      </c>
      <c r="I15" s="248"/>
      <c r="J15" s="248"/>
      <c r="K15" s="45" t="s">
        <v>136</v>
      </c>
      <c r="N15" s="243" t="s">
        <v>371</v>
      </c>
      <c r="O15" s="244"/>
      <c r="P15" s="244"/>
      <c r="Q15" s="244"/>
      <c r="R15" s="241">
        <f>INDEX(TGK!R13:R17,MATCH(O8,TGK!R13:R17,-1),1)</f>
        <v>1600</v>
      </c>
      <c r="S15" s="241"/>
      <c r="T15" s="241"/>
      <c r="U15"/>
      <c r="V15"/>
      <c r="W15"/>
      <c r="X15"/>
      <c r="Y15" s="48"/>
    </row>
    <row r="16" spans="1:25" ht="12" customHeight="1">
      <c r="A16" s="251" t="s">
        <v>369</v>
      </c>
      <c r="B16" s="251"/>
      <c r="C16" s="251"/>
      <c r="D16" s="251"/>
      <c r="E16" s="251"/>
      <c r="F16" s="251"/>
      <c r="G16" s="251"/>
      <c r="H16" s="248">
        <f>INDEX(TGK!S13:S17,MATCH(B12,TGK!S13:S17,-1),1)</f>
        <v>16</v>
      </c>
      <c r="I16" s="248"/>
      <c r="J16" s="248"/>
      <c r="K16" s="45" t="s">
        <v>367</v>
      </c>
      <c r="N16" s="243" t="s">
        <v>372</v>
      </c>
      <c r="O16" s="244"/>
      <c r="P16" s="244"/>
      <c r="Q16" s="244"/>
      <c r="R16" s="241">
        <f>INDEX(TGK!T13:T14,MATCH(O12,TGK!T13:T14,-1),1)</f>
        <v>50</v>
      </c>
      <c r="S16" s="241"/>
      <c r="T16" s="241"/>
      <c r="U16"/>
      <c r="V16"/>
      <c r="W16"/>
      <c r="X16"/>
      <c r="Y16" s="48"/>
    </row>
    <row r="17" spans="1:25" ht="12" customHeight="1">
      <c r="A17" s="251" t="s">
        <v>370</v>
      </c>
      <c r="B17" s="251"/>
      <c r="C17" s="251"/>
      <c r="D17" s="251"/>
      <c r="E17" s="251"/>
      <c r="F17" s="251"/>
      <c r="G17" s="251"/>
      <c r="H17" s="248">
        <f>2.5*H16</f>
        <v>40</v>
      </c>
      <c r="I17" s="248"/>
      <c r="J17" s="248"/>
      <c r="K17" s="45" t="s">
        <v>367</v>
      </c>
      <c r="N17" s="62"/>
      <c r="Y17" s="48"/>
    </row>
    <row r="18" spans="14:25" ht="12" customHeight="1">
      <c r="N18" s="62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pans="14:25" ht="12" customHeight="1"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4:25" ht="12" customHeight="1"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4:25" ht="12" customHeight="1"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4:25" ht="12" customHeight="1"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4:25" ht="12" customHeight="1"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4:25" ht="12" customHeight="1"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4:25" ht="12" customHeight="1"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4:25" ht="12" customHeight="1"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4:25" ht="12" customHeight="1"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4:25" ht="12" customHeight="1"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</sheetData>
  <sheetProtection/>
  <mergeCells count="35">
    <mergeCell ref="O12:Q12"/>
    <mergeCell ref="N15:Q15"/>
    <mergeCell ref="N16:Q16"/>
    <mergeCell ref="R15:T15"/>
    <mergeCell ref="R16:T16"/>
    <mergeCell ref="D10:E10"/>
    <mergeCell ref="I10:J10"/>
    <mergeCell ref="O8:Q8"/>
    <mergeCell ref="Q10:R10"/>
    <mergeCell ref="V10:W10"/>
    <mergeCell ref="O3:P3"/>
    <mergeCell ref="N5:N6"/>
    <mergeCell ref="O5:R5"/>
    <mergeCell ref="S5:S6"/>
    <mergeCell ref="T5:W5"/>
    <mergeCell ref="H17:J17"/>
    <mergeCell ref="A17:G17"/>
    <mergeCell ref="B3:C3"/>
    <mergeCell ref="B12:D12"/>
    <mergeCell ref="A15:G15"/>
    <mergeCell ref="A16:G16"/>
    <mergeCell ref="H15:J15"/>
    <mergeCell ref="H16:J16"/>
    <mergeCell ref="I6:J6"/>
    <mergeCell ref="B8:D8"/>
    <mergeCell ref="A1:Y1"/>
    <mergeCell ref="A2:K2"/>
    <mergeCell ref="N2:Y2"/>
    <mergeCell ref="A5:A6"/>
    <mergeCell ref="B5:E5"/>
    <mergeCell ref="D6:E6"/>
    <mergeCell ref="F5:F6"/>
    <mergeCell ref="G5:J5"/>
    <mergeCell ref="Q6:R6"/>
    <mergeCell ref="V6:W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Y41"/>
  <sheetViews>
    <sheetView tabSelected="1" zoomScalePageLayoutView="0" workbookViewId="0" topLeftCell="A1">
      <selection activeCell="J13" sqref="J13"/>
    </sheetView>
  </sheetViews>
  <sheetFormatPr defaultColWidth="3.7109375" defaultRowHeight="12" customHeight="1"/>
  <cols>
    <col min="1" max="1" width="3.7109375" style="45" customWidth="1"/>
    <col min="2" max="2" width="4.421875" style="45" customWidth="1"/>
    <col min="3" max="3" width="1.28515625" style="45" customWidth="1"/>
    <col min="4" max="5" width="3.7109375" style="45" customWidth="1"/>
    <col min="6" max="6" width="4.28125" style="45" customWidth="1"/>
    <col min="7" max="7" width="0.9921875" style="45" customWidth="1"/>
    <col min="8" max="8" width="4.421875" style="45" customWidth="1"/>
    <col min="9" max="9" width="1.1484375" style="45" customWidth="1"/>
    <col min="10" max="10" width="4.00390625" style="45" customWidth="1"/>
    <col min="11" max="11" width="0.9921875" style="45" customWidth="1"/>
    <col min="12" max="12" width="4.7109375" style="45" customWidth="1"/>
    <col min="13" max="14" width="3.7109375" style="45" customWidth="1"/>
    <col min="15" max="15" width="4.140625" style="45" customWidth="1"/>
    <col min="16" max="16" width="1.1484375" style="45" customWidth="1"/>
    <col min="17" max="17" width="3.00390625" style="45" customWidth="1"/>
    <col min="18" max="18" width="3.7109375" style="45" customWidth="1"/>
    <col min="19" max="19" width="4.28125" style="45" customWidth="1"/>
    <col min="20" max="20" width="1.1484375" style="45" customWidth="1"/>
    <col min="21" max="21" width="4.28125" style="45" customWidth="1"/>
    <col min="22" max="22" width="0.9921875" style="45" customWidth="1"/>
    <col min="23" max="24" width="3.7109375" style="45" customWidth="1"/>
    <col min="25" max="25" width="4.7109375" style="45" bestFit="1" customWidth="1"/>
    <col min="26" max="16384" width="3.7109375" style="45" customWidth="1"/>
  </cols>
  <sheetData>
    <row r="1" spans="1:25" ht="12" customHeight="1">
      <c r="A1" s="330" t="s">
        <v>373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</row>
    <row r="2" spans="1:24" ht="12" customHeight="1">
      <c r="A2" s="283" t="s">
        <v>406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46" t="s">
        <v>407</v>
      </c>
      <c r="O2" s="247"/>
      <c r="P2" s="247"/>
      <c r="Q2" s="247"/>
      <c r="R2" s="247"/>
      <c r="S2" s="247"/>
      <c r="T2" s="247"/>
      <c r="U2" s="247"/>
      <c r="V2" s="247"/>
      <c r="W2" s="247"/>
      <c r="X2" s="247"/>
    </row>
    <row r="3" spans="1:25" ht="12" customHeight="1">
      <c r="A3" s="253" t="s">
        <v>392</v>
      </c>
      <c r="B3" s="240" t="s">
        <v>6</v>
      </c>
      <c r="C3" s="240"/>
      <c r="D3" s="240"/>
      <c r="E3" s="240"/>
      <c r="F3" s="253" t="s">
        <v>7</v>
      </c>
      <c r="G3" s="253"/>
      <c r="H3" s="240">
        <f>TRAFO_GÜCÜ!D33</f>
        <v>1000</v>
      </c>
      <c r="I3" s="240"/>
      <c r="J3" s="240"/>
      <c r="K3" s="240"/>
      <c r="L3" s="164"/>
      <c r="N3" s="331" t="s">
        <v>392</v>
      </c>
      <c r="O3" s="240" t="s">
        <v>6</v>
      </c>
      <c r="P3" s="240"/>
      <c r="Q3" s="240"/>
      <c r="R3" s="240"/>
      <c r="S3" s="239" t="s">
        <v>7</v>
      </c>
      <c r="T3" s="239"/>
      <c r="U3" s="240">
        <f>TRAFO_GÜCÜ!D33</f>
        <v>1000</v>
      </c>
      <c r="V3" s="240"/>
      <c r="W3" s="240"/>
      <c r="X3" s="240"/>
      <c r="Y3" s="164"/>
    </row>
    <row r="4" spans="1:25" ht="12" customHeight="1">
      <c r="A4" s="253"/>
      <c r="B4" s="163">
        <f>SQRT(3)</f>
        <v>1.7320508075688772</v>
      </c>
      <c r="C4" s="168" t="s">
        <v>10</v>
      </c>
      <c r="D4" s="257" t="s">
        <v>364</v>
      </c>
      <c r="E4" s="257"/>
      <c r="F4" s="253"/>
      <c r="G4" s="253"/>
      <c r="H4" s="163">
        <f>SQRT(3)</f>
        <v>1.7320508075688772</v>
      </c>
      <c r="I4" s="168" t="s">
        <v>10</v>
      </c>
      <c r="J4" s="257">
        <f>KESİCİ!B3</f>
        <v>34.5</v>
      </c>
      <c r="K4" s="257"/>
      <c r="L4" s="164"/>
      <c r="N4" s="331"/>
      <c r="O4" s="164">
        <f>SQRT(3)</f>
        <v>1.7320508075688772</v>
      </c>
      <c r="P4" s="171" t="s">
        <v>10</v>
      </c>
      <c r="Q4" s="257" t="s">
        <v>364</v>
      </c>
      <c r="R4" s="257"/>
      <c r="S4" s="239"/>
      <c r="T4" s="239"/>
      <c r="U4" s="164">
        <f>SQRT(3)</f>
        <v>1.7320508075688772</v>
      </c>
      <c r="V4" s="171" t="s">
        <v>10</v>
      </c>
      <c r="W4" s="257">
        <f>KESİCİ!O3</f>
        <v>0.4</v>
      </c>
      <c r="X4" s="257"/>
      <c r="Y4" s="164"/>
    </row>
    <row r="5" spans="14:24" ht="12" customHeight="1">
      <c r="N5" s="62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ht="15" customHeight="1">
      <c r="A6" s="68" t="s">
        <v>392</v>
      </c>
      <c r="B6" s="249">
        <f>H3/(H4*J4)</f>
        <v>16.734790411293503</v>
      </c>
      <c r="C6" s="249"/>
      <c r="D6" s="249"/>
      <c r="N6" s="106" t="s">
        <v>392</v>
      </c>
      <c r="O6" s="241">
        <f>U3/(U4*W4)</f>
        <v>1443.3756729740644</v>
      </c>
      <c r="P6" s="241"/>
      <c r="Q6" s="241"/>
      <c r="R6" s="48"/>
      <c r="S6" s="48"/>
      <c r="T6" s="48"/>
      <c r="U6" s="48"/>
      <c r="V6" s="48"/>
      <c r="W6" s="48"/>
      <c r="X6" s="48"/>
    </row>
    <row r="7" spans="1:24" ht="12" customHeight="1">
      <c r="A7" s="68"/>
      <c r="N7" s="106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5" ht="12" customHeight="1">
      <c r="A8" s="45" t="s">
        <v>434</v>
      </c>
      <c r="B8" s="249">
        <f>KISADEVRE_PU!BA47</f>
        <v>3930.5689571491503</v>
      </c>
      <c r="C8" s="249"/>
      <c r="D8" s="249"/>
      <c r="E8" s="50" t="s">
        <v>136</v>
      </c>
      <c r="F8" s="50"/>
      <c r="G8" s="50"/>
      <c r="I8" s="49"/>
      <c r="J8" s="170" t="s">
        <v>438</v>
      </c>
      <c r="K8" s="253" t="s">
        <v>7</v>
      </c>
      <c r="L8" s="253">
        <f>B8/J11</f>
        <v>196.5284478574575</v>
      </c>
      <c r="N8" s="62" t="s">
        <v>434</v>
      </c>
      <c r="O8" s="241">
        <f>KISADEVRE_PU!BA27</f>
        <v>22928.420041634992</v>
      </c>
      <c r="P8" s="241"/>
      <c r="Q8" s="241"/>
      <c r="R8" s="50" t="s">
        <v>136</v>
      </c>
      <c r="S8" s="50"/>
      <c r="T8" s="50"/>
      <c r="U8" s="48"/>
      <c r="V8" s="50"/>
      <c r="W8" s="170" t="s">
        <v>438</v>
      </c>
      <c r="X8" s="239" t="s">
        <v>7</v>
      </c>
      <c r="Y8" s="253">
        <f>O8/W11</f>
        <v>15.285613361089995</v>
      </c>
    </row>
    <row r="9" spans="9:25" ht="12" customHeight="1">
      <c r="I9" s="50"/>
      <c r="J9" s="163" t="s">
        <v>439</v>
      </c>
      <c r="K9" s="253"/>
      <c r="L9" s="253"/>
      <c r="N9" s="62"/>
      <c r="O9" s="48"/>
      <c r="P9" s="48"/>
      <c r="Q9" s="48"/>
      <c r="R9" s="48"/>
      <c r="S9" s="48"/>
      <c r="T9" s="48"/>
      <c r="U9" s="48"/>
      <c r="V9" s="50"/>
      <c r="W9" s="164" t="s">
        <v>439</v>
      </c>
      <c r="X9" s="239"/>
      <c r="Y9" s="253"/>
    </row>
    <row r="10" spans="1:25" ht="12" customHeight="1">
      <c r="A10" s="45" t="s">
        <v>140</v>
      </c>
      <c r="B10" s="248">
        <f>INDEX(TGK!AT2:AT11,MATCH(L8,TGK!AT2:AT11,-1),1)</f>
        <v>200</v>
      </c>
      <c r="C10" s="248"/>
      <c r="I10" s="49"/>
      <c r="L10" s="163"/>
      <c r="N10" s="62" t="s">
        <v>140</v>
      </c>
      <c r="O10" s="241">
        <f>INDEX(TGK!AT2:AT11,MATCH(Y8,TGK!AT2:AT11,-1),1)</f>
        <v>60</v>
      </c>
      <c r="P10" s="241"/>
      <c r="Q10" s="48"/>
      <c r="R10" s="48"/>
      <c r="S10" s="48"/>
      <c r="T10" s="48"/>
      <c r="U10" s="48"/>
      <c r="V10" s="50"/>
      <c r="W10" s="48"/>
      <c r="X10" s="48"/>
      <c r="Y10" s="163"/>
    </row>
    <row r="11" spans="1:24" ht="12" customHeight="1">
      <c r="A11" s="251" t="s">
        <v>400</v>
      </c>
      <c r="B11" s="251"/>
      <c r="C11" s="251"/>
      <c r="D11" s="251"/>
      <c r="E11" s="251"/>
      <c r="F11" s="251"/>
      <c r="G11" s="251"/>
      <c r="H11" s="251"/>
      <c r="I11" s="251"/>
      <c r="J11" s="251">
        <f>INDEX(TGK!AQ2:AQ33,MATCH(B6,TGK!AQ2:AQ33,-1),1)</f>
        <v>20</v>
      </c>
      <c r="K11" s="251"/>
      <c r="N11" s="243" t="s">
        <v>404</v>
      </c>
      <c r="O11" s="244"/>
      <c r="P11" s="244"/>
      <c r="Q11" s="244"/>
      <c r="R11" s="244"/>
      <c r="S11" s="244"/>
      <c r="T11" s="244"/>
      <c r="U11" s="244"/>
      <c r="V11" s="244"/>
      <c r="W11" s="244">
        <f>INDEX(TGK!AQ2:AQ33,MATCH(O6,TGK!AQ2:AQ33,-1),1)</f>
        <v>1500</v>
      </c>
      <c r="X11" s="244"/>
    </row>
    <row r="12" spans="1:24" ht="12" customHeight="1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N12" s="166"/>
      <c r="O12" s="167"/>
      <c r="P12" s="167"/>
      <c r="Q12" s="167"/>
      <c r="R12" s="167"/>
      <c r="S12" s="167"/>
      <c r="T12" s="167"/>
      <c r="U12" s="167"/>
      <c r="V12" s="167"/>
      <c r="W12" s="167"/>
      <c r="X12" s="167"/>
    </row>
    <row r="13" spans="14:25" ht="12" customHeight="1">
      <c r="N13" s="246" t="s">
        <v>436</v>
      </c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</row>
    <row r="14" spans="1:24" ht="12" customHeight="1">
      <c r="A14" s="251" t="s">
        <v>396</v>
      </c>
      <c r="B14" s="251"/>
      <c r="C14" s="251"/>
      <c r="D14" s="251"/>
      <c r="E14" s="251"/>
      <c r="F14" s="163">
        <f>J11</f>
        <v>20</v>
      </c>
      <c r="G14" s="169" t="s">
        <v>401</v>
      </c>
      <c r="H14" s="167">
        <v>5</v>
      </c>
      <c r="N14" s="243" t="s">
        <v>395</v>
      </c>
      <c r="O14" s="244"/>
      <c r="P14" s="244"/>
      <c r="Q14" s="244"/>
      <c r="R14" s="244"/>
      <c r="S14" s="164">
        <f>W11</f>
        <v>1500</v>
      </c>
      <c r="T14" s="169" t="s">
        <v>401</v>
      </c>
      <c r="U14" s="167">
        <v>5</v>
      </c>
      <c r="V14" s="48"/>
      <c r="W14" s="48"/>
      <c r="X14" s="48"/>
    </row>
    <row r="15" spans="1:24" ht="12" customHeight="1">
      <c r="A15" s="310" t="s">
        <v>397</v>
      </c>
      <c r="B15" s="310"/>
      <c r="C15" s="310"/>
      <c r="D15" s="310"/>
      <c r="E15" s="310"/>
      <c r="F15" s="265">
        <v>1</v>
      </c>
      <c r="G15" s="266"/>
      <c r="N15" s="332" t="s">
        <v>402</v>
      </c>
      <c r="O15" s="333"/>
      <c r="P15" s="333"/>
      <c r="Q15" s="333"/>
      <c r="R15" s="333"/>
      <c r="S15" s="265">
        <v>0.5</v>
      </c>
      <c r="T15" s="266"/>
      <c r="U15" s="48"/>
      <c r="V15" s="48"/>
      <c r="W15" s="48"/>
      <c r="X15" s="48"/>
    </row>
    <row r="16" spans="1:24" ht="12.75" customHeight="1">
      <c r="A16" s="251" t="s">
        <v>398</v>
      </c>
      <c r="B16" s="251"/>
      <c r="C16" s="251"/>
      <c r="D16" s="251"/>
      <c r="E16" s="251"/>
      <c r="F16" s="241">
        <v>30</v>
      </c>
      <c r="G16" s="241"/>
      <c r="H16" s="45" t="s">
        <v>405</v>
      </c>
      <c r="N16" s="243" t="s">
        <v>403</v>
      </c>
      <c r="O16" s="244"/>
      <c r="P16" s="244"/>
      <c r="Q16" s="244"/>
      <c r="R16" s="244"/>
      <c r="S16" s="241">
        <v>30</v>
      </c>
      <c r="T16" s="241"/>
      <c r="U16" s="48" t="s">
        <v>405</v>
      </c>
      <c r="V16" s="48"/>
      <c r="W16" s="48"/>
      <c r="X16" s="48"/>
    </row>
    <row r="17" spans="1:24" ht="12" customHeight="1">
      <c r="A17" s="45" t="s">
        <v>434</v>
      </c>
      <c r="B17" s="163" t="s">
        <v>141</v>
      </c>
      <c r="C17" s="168" t="s">
        <v>10</v>
      </c>
      <c r="D17" s="163" t="s">
        <v>439</v>
      </c>
      <c r="H17" s="48"/>
      <c r="N17" s="62" t="s">
        <v>434</v>
      </c>
      <c r="O17" s="163" t="s">
        <v>141</v>
      </c>
      <c r="P17" s="168" t="s">
        <v>10</v>
      </c>
      <c r="Q17" s="163" t="s">
        <v>439</v>
      </c>
      <c r="R17" s="48"/>
      <c r="S17" s="48"/>
      <c r="T17" s="48"/>
      <c r="U17" s="48"/>
      <c r="V17" s="48"/>
      <c r="W17" s="48"/>
      <c r="X17" s="48"/>
    </row>
    <row r="18" spans="1:24" ht="12" customHeight="1">
      <c r="A18" s="45" t="s">
        <v>434</v>
      </c>
      <c r="B18" s="163">
        <f>B10</f>
        <v>200</v>
      </c>
      <c r="C18" s="168" t="s">
        <v>10</v>
      </c>
      <c r="D18" s="163" t="s">
        <v>439</v>
      </c>
      <c r="H18" s="48"/>
      <c r="N18" s="62" t="s">
        <v>434</v>
      </c>
      <c r="O18" s="164">
        <f>O10</f>
        <v>60</v>
      </c>
      <c r="P18" s="171" t="s">
        <v>10</v>
      </c>
      <c r="Q18" s="164" t="s">
        <v>439</v>
      </c>
      <c r="R18" s="48"/>
      <c r="S18" s="48"/>
      <c r="T18" s="48"/>
      <c r="U18" s="48"/>
      <c r="V18" s="48"/>
      <c r="W18" s="48"/>
      <c r="X18" s="48"/>
    </row>
    <row r="19" spans="1:25" ht="12" customHeight="1">
      <c r="A19" s="283" t="s">
        <v>440</v>
      </c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N19" s="246" t="s">
        <v>437</v>
      </c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</row>
    <row r="20" spans="1:24" ht="12" customHeight="1">
      <c r="A20" s="251" t="s">
        <v>396</v>
      </c>
      <c r="B20" s="251"/>
      <c r="C20" s="251"/>
      <c r="D20" s="251"/>
      <c r="E20" s="251"/>
      <c r="F20" s="163">
        <v>20</v>
      </c>
      <c r="G20" s="169" t="s">
        <v>401</v>
      </c>
      <c r="H20" s="167">
        <v>5</v>
      </c>
      <c r="N20" s="243" t="s">
        <v>395</v>
      </c>
      <c r="O20" s="244"/>
      <c r="P20" s="244"/>
      <c r="Q20" s="244"/>
      <c r="R20" s="244"/>
      <c r="S20" s="164">
        <f>W11</f>
        <v>1500</v>
      </c>
      <c r="T20" s="169" t="s">
        <v>401</v>
      </c>
      <c r="U20" s="167">
        <v>5</v>
      </c>
      <c r="V20" s="48"/>
      <c r="W20" s="48"/>
      <c r="X20" s="48"/>
    </row>
    <row r="21" spans="1:24" ht="12" customHeight="1">
      <c r="A21" s="310" t="s">
        <v>397</v>
      </c>
      <c r="B21" s="310"/>
      <c r="C21" s="310"/>
      <c r="D21" s="310"/>
      <c r="E21" s="310"/>
      <c r="F21" s="265">
        <v>1</v>
      </c>
      <c r="G21" s="266"/>
      <c r="N21" s="332" t="s">
        <v>402</v>
      </c>
      <c r="O21" s="333"/>
      <c r="P21" s="333"/>
      <c r="Q21" s="333"/>
      <c r="R21" s="333"/>
      <c r="S21" s="265">
        <v>0.5</v>
      </c>
      <c r="T21" s="266"/>
      <c r="U21" s="48"/>
      <c r="V21" s="48"/>
      <c r="W21" s="48"/>
      <c r="X21" s="48"/>
    </row>
    <row r="22" spans="1:24" ht="12" customHeight="1">
      <c r="A22" s="251" t="s">
        <v>398</v>
      </c>
      <c r="B22" s="251"/>
      <c r="C22" s="251"/>
      <c r="D22" s="251"/>
      <c r="E22" s="251"/>
      <c r="F22" s="241">
        <v>30</v>
      </c>
      <c r="G22" s="241"/>
      <c r="H22" s="45" t="s">
        <v>405</v>
      </c>
      <c r="N22" s="243" t="s">
        <v>403</v>
      </c>
      <c r="O22" s="244"/>
      <c r="P22" s="244"/>
      <c r="Q22" s="244"/>
      <c r="R22" s="244"/>
      <c r="S22" s="241">
        <v>30</v>
      </c>
      <c r="T22" s="241"/>
      <c r="U22" s="48" t="s">
        <v>405</v>
      </c>
      <c r="V22" s="48"/>
      <c r="W22" s="48"/>
      <c r="X22" s="48"/>
    </row>
    <row r="23" spans="1:24" ht="12" customHeight="1">
      <c r="A23" s="45" t="s">
        <v>434</v>
      </c>
      <c r="B23" s="163" t="s">
        <v>141</v>
      </c>
      <c r="C23" s="168" t="s">
        <v>10</v>
      </c>
      <c r="D23" s="163" t="s">
        <v>439</v>
      </c>
      <c r="H23" s="48"/>
      <c r="N23" s="62" t="s">
        <v>434</v>
      </c>
      <c r="O23" s="163" t="s">
        <v>141</v>
      </c>
      <c r="P23" s="168" t="s">
        <v>10</v>
      </c>
      <c r="Q23" s="163" t="s">
        <v>439</v>
      </c>
      <c r="R23" s="48"/>
      <c r="S23" s="48"/>
      <c r="T23" s="48"/>
      <c r="U23" s="48"/>
      <c r="V23" s="48"/>
      <c r="W23" s="48"/>
      <c r="X23" s="48"/>
    </row>
    <row r="24" spans="1:21" ht="12" customHeight="1">
      <c r="A24" s="45" t="s">
        <v>434</v>
      </c>
      <c r="B24" s="163">
        <f>B10</f>
        <v>200</v>
      </c>
      <c r="C24" s="168" t="s">
        <v>10</v>
      </c>
      <c r="D24" s="163" t="s">
        <v>439</v>
      </c>
      <c r="H24" s="48"/>
      <c r="N24" s="62" t="s">
        <v>434</v>
      </c>
      <c r="O24" s="164">
        <f>O10</f>
        <v>60</v>
      </c>
      <c r="P24" s="171" t="s">
        <v>10</v>
      </c>
      <c r="Q24" s="164" t="s">
        <v>439</v>
      </c>
      <c r="R24" s="48"/>
      <c r="S24" s="48"/>
      <c r="T24" s="48"/>
      <c r="U24" s="48"/>
    </row>
    <row r="25" spans="1:11" ht="12" customHeight="1">
      <c r="A25" s="283" t="s">
        <v>441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  <row r="26" spans="1:8" ht="12" customHeight="1">
      <c r="A26" s="251" t="s">
        <v>396</v>
      </c>
      <c r="B26" s="251"/>
      <c r="C26" s="251"/>
      <c r="D26" s="251"/>
      <c r="E26" s="251"/>
      <c r="F26" s="163">
        <v>20</v>
      </c>
      <c r="G26" s="169" t="s">
        <v>401</v>
      </c>
      <c r="H26" s="167">
        <v>5</v>
      </c>
    </row>
    <row r="27" spans="1:7" ht="12" customHeight="1">
      <c r="A27" s="310" t="s">
        <v>397</v>
      </c>
      <c r="B27" s="310"/>
      <c r="C27" s="310"/>
      <c r="D27" s="310"/>
      <c r="E27" s="310"/>
      <c r="F27" s="265">
        <v>0.5</v>
      </c>
      <c r="G27" s="266"/>
    </row>
    <row r="28" spans="1:24" ht="12" customHeight="1">
      <c r="A28" s="251" t="s">
        <v>398</v>
      </c>
      <c r="B28" s="251"/>
      <c r="C28" s="251"/>
      <c r="D28" s="251"/>
      <c r="E28" s="251"/>
      <c r="F28" s="241">
        <v>30</v>
      </c>
      <c r="G28" s="241"/>
      <c r="H28" s="45" t="s">
        <v>405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 ht="12" customHeight="1">
      <c r="A29" s="45" t="s">
        <v>434</v>
      </c>
      <c r="B29" s="163" t="s">
        <v>141</v>
      </c>
      <c r="C29" s="168" t="s">
        <v>10</v>
      </c>
      <c r="D29" s="163" t="s">
        <v>439</v>
      </c>
      <c r="H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 ht="12" customHeight="1">
      <c r="A30" s="45" t="s">
        <v>434</v>
      </c>
      <c r="B30" s="163">
        <f>B10</f>
        <v>200</v>
      </c>
      <c r="C30" s="168" t="s">
        <v>10</v>
      </c>
      <c r="D30" s="163" t="s">
        <v>439</v>
      </c>
      <c r="H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10" ht="12" customHeight="1">
      <c r="A31" s="283" t="s">
        <v>442</v>
      </c>
      <c r="B31" s="283"/>
      <c r="C31" s="283"/>
      <c r="D31" s="283"/>
      <c r="E31" s="283"/>
      <c r="F31" s="283"/>
      <c r="G31" s="283"/>
      <c r="H31" s="283"/>
      <c r="I31" s="283"/>
      <c r="J31" s="283"/>
    </row>
    <row r="32" spans="1:8" ht="12" customHeight="1">
      <c r="A32" s="251" t="s">
        <v>396</v>
      </c>
      <c r="B32" s="251"/>
      <c r="C32" s="251"/>
      <c r="D32" s="251"/>
      <c r="E32" s="251"/>
      <c r="F32" s="163">
        <v>400</v>
      </c>
      <c r="G32" s="169" t="s">
        <v>401</v>
      </c>
      <c r="H32" s="167">
        <v>5</v>
      </c>
    </row>
    <row r="33" spans="1:7" ht="12" customHeight="1">
      <c r="A33" s="310" t="s">
        <v>397</v>
      </c>
      <c r="B33" s="310"/>
      <c r="C33" s="310"/>
      <c r="D33" s="310"/>
      <c r="E33" s="310"/>
      <c r="F33" s="265">
        <v>1</v>
      </c>
      <c r="G33" s="266"/>
    </row>
    <row r="34" spans="1:8" ht="12" customHeight="1">
      <c r="A34" s="251" t="s">
        <v>398</v>
      </c>
      <c r="B34" s="251"/>
      <c r="C34" s="251"/>
      <c r="D34" s="251"/>
      <c r="E34" s="251"/>
      <c r="F34" s="241">
        <v>30</v>
      </c>
      <c r="G34" s="241"/>
      <c r="H34" s="45" t="s">
        <v>405</v>
      </c>
    </row>
    <row r="35" spans="1:8" ht="12" customHeight="1">
      <c r="A35" s="45" t="s">
        <v>434</v>
      </c>
      <c r="B35" s="163" t="s">
        <v>141</v>
      </c>
      <c r="C35" s="168" t="s">
        <v>10</v>
      </c>
      <c r="D35" s="163" t="s">
        <v>439</v>
      </c>
      <c r="H35" s="48"/>
    </row>
    <row r="36" spans="1:8" ht="12" customHeight="1">
      <c r="A36" s="45" t="s">
        <v>434</v>
      </c>
      <c r="B36" s="163">
        <v>100</v>
      </c>
      <c r="C36" s="168" t="s">
        <v>10</v>
      </c>
      <c r="D36" s="163" t="s">
        <v>439</v>
      </c>
      <c r="H36" s="48"/>
    </row>
    <row r="38" spans="1:25" ht="12" customHeight="1">
      <c r="A38" s="334" t="s">
        <v>408</v>
      </c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</row>
    <row r="39" spans="1:24" ht="12" customHeight="1">
      <c r="A39" s="251" t="s">
        <v>443</v>
      </c>
      <c r="B39" s="251"/>
      <c r="C39" s="251"/>
      <c r="D39" s="251"/>
      <c r="E39" s="251"/>
      <c r="F39" s="165">
        <v>34.5</v>
      </c>
      <c r="G39" s="171" t="s">
        <v>401</v>
      </c>
      <c r="H39" s="165">
        <v>0.1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ht="12" customHeight="1">
      <c r="A40" s="251" t="s">
        <v>444</v>
      </c>
      <c r="B40" s="251"/>
      <c r="C40" s="251"/>
      <c r="D40" s="251"/>
      <c r="E40" s="251"/>
      <c r="F40" s="165">
        <v>1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 ht="12" customHeight="1">
      <c r="A41" s="251" t="s">
        <v>398</v>
      </c>
      <c r="B41" s="251"/>
      <c r="C41" s="251"/>
      <c r="D41" s="251"/>
      <c r="E41" s="251"/>
      <c r="F41" s="165">
        <v>60</v>
      </c>
      <c r="G41" s="251" t="s">
        <v>405</v>
      </c>
      <c r="H41" s="251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</sheetData>
  <sheetProtection/>
  <mergeCells count="69">
    <mergeCell ref="A38:Y38"/>
    <mergeCell ref="A40:E40"/>
    <mergeCell ref="A41:E41"/>
    <mergeCell ref="A39:E39"/>
    <mergeCell ref="G41:H41"/>
    <mergeCell ref="A31:J31"/>
    <mergeCell ref="A32:E32"/>
    <mergeCell ref="A33:E33"/>
    <mergeCell ref="F33:G33"/>
    <mergeCell ref="A34:E34"/>
    <mergeCell ref="F34:G34"/>
    <mergeCell ref="A25:K25"/>
    <mergeCell ref="A26:E26"/>
    <mergeCell ref="A27:E27"/>
    <mergeCell ref="F27:G27"/>
    <mergeCell ref="A28:E28"/>
    <mergeCell ref="F28:G28"/>
    <mergeCell ref="N22:R22"/>
    <mergeCell ref="S22:T22"/>
    <mergeCell ref="A19:K19"/>
    <mergeCell ref="A20:E20"/>
    <mergeCell ref="A21:E21"/>
    <mergeCell ref="F21:G21"/>
    <mergeCell ref="A22:E22"/>
    <mergeCell ref="F22:G22"/>
    <mergeCell ref="N13:Y13"/>
    <mergeCell ref="N19:Y19"/>
    <mergeCell ref="N20:R20"/>
    <mergeCell ref="N21:R21"/>
    <mergeCell ref="S21:T21"/>
    <mergeCell ref="N14:R14"/>
    <mergeCell ref="N15:R15"/>
    <mergeCell ref="S15:T15"/>
    <mergeCell ref="N16:R16"/>
    <mergeCell ref="S16:T16"/>
    <mergeCell ref="J4:K4"/>
    <mergeCell ref="F3:G4"/>
    <mergeCell ref="S3:T4"/>
    <mergeCell ref="U3:X3"/>
    <mergeCell ref="W4:X4"/>
    <mergeCell ref="N3:N4"/>
    <mergeCell ref="O3:R3"/>
    <mergeCell ref="X8:X9"/>
    <mergeCell ref="Y8:Y9"/>
    <mergeCell ref="O10:P10"/>
    <mergeCell ref="N11:V11"/>
    <mergeCell ref="W11:X11"/>
    <mergeCell ref="A1:Y1"/>
    <mergeCell ref="K8:K9"/>
    <mergeCell ref="B6:D6"/>
    <mergeCell ref="A2:M2"/>
    <mergeCell ref="N2:X2"/>
    <mergeCell ref="A15:E15"/>
    <mergeCell ref="A16:E16"/>
    <mergeCell ref="L8:L9"/>
    <mergeCell ref="J11:K11"/>
    <mergeCell ref="A11:I11"/>
    <mergeCell ref="F15:G15"/>
    <mergeCell ref="F16:G16"/>
    <mergeCell ref="Q4:R4"/>
    <mergeCell ref="O6:Q6"/>
    <mergeCell ref="O8:Q8"/>
    <mergeCell ref="B8:D8"/>
    <mergeCell ref="B10:C10"/>
    <mergeCell ref="A14:E14"/>
    <mergeCell ref="A3:A4"/>
    <mergeCell ref="B3:E3"/>
    <mergeCell ref="D4:E4"/>
    <mergeCell ref="H3:K3"/>
  </mergeCells>
  <dataValidations count="2">
    <dataValidation type="list" allowBlank="1" showInputMessage="1" showErrorMessage="1" sqref="S21 S15">
      <formula1>ÖK</formula1>
    </dataValidation>
    <dataValidation type="list" allowBlank="1" showInputMessage="1" showErrorMessage="1" sqref="F15:G15 F33:G33 F27:G27 F21:G21">
      <formula1>ökk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BR50"/>
  <sheetViews>
    <sheetView zoomScalePageLayoutView="0" workbookViewId="0" topLeftCell="A28">
      <selection activeCell="AV15" sqref="AV15"/>
    </sheetView>
  </sheetViews>
  <sheetFormatPr defaultColWidth="9.140625" defaultRowHeight="19.5" customHeight="1"/>
  <cols>
    <col min="12" max="12" width="17.8515625" style="0" customWidth="1"/>
    <col min="20" max="23" width="9.140625" style="0" customWidth="1"/>
    <col min="24" max="24" width="10.7109375" style="0" customWidth="1"/>
    <col min="26" max="26" width="9.140625" style="0" customWidth="1"/>
    <col min="30" max="30" width="16.57421875" style="0" customWidth="1"/>
    <col min="34" max="34" width="17.00390625" style="0" customWidth="1"/>
    <col min="36" max="36" width="10.00390625" style="0" customWidth="1"/>
    <col min="39" max="39" width="9.140625" style="0" customWidth="1"/>
    <col min="44" max="44" width="11.28125" style="102" bestFit="1" customWidth="1"/>
    <col min="45" max="45" width="9.140625" style="102" customWidth="1"/>
  </cols>
  <sheetData>
    <row r="1" spans="1:52" ht="37.5" customHeight="1" thickBot="1">
      <c r="A1" s="8">
        <v>2000</v>
      </c>
      <c r="D1" s="23"/>
      <c r="E1" s="24" t="s">
        <v>33</v>
      </c>
      <c r="F1" s="24">
        <v>0.95</v>
      </c>
      <c r="G1" s="24">
        <v>0.96</v>
      </c>
      <c r="H1" s="24">
        <v>0.97</v>
      </c>
      <c r="I1" s="24">
        <v>0.98</v>
      </c>
      <c r="J1" s="24">
        <v>0.99</v>
      </c>
      <c r="L1" s="11" t="s">
        <v>57</v>
      </c>
      <c r="M1" s="12" t="s">
        <v>58</v>
      </c>
      <c r="N1" s="12" t="s">
        <v>59</v>
      </c>
      <c r="P1" s="11" t="s">
        <v>62</v>
      </c>
      <c r="Q1" s="12" t="s">
        <v>63</v>
      </c>
      <c r="R1" s="12" t="s">
        <v>64</v>
      </c>
      <c r="T1" s="21" t="s">
        <v>62</v>
      </c>
      <c r="U1" s="22" t="s">
        <v>63</v>
      </c>
      <c r="W1" s="29" t="s">
        <v>112</v>
      </c>
      <c r="X1" s="30" t="s">
        <v>113</v>
      </c>
      <c r="Y1" s="30" t="s">
        <v>114</v>
      </c>
      <c r="Z1" s="29" t="s">
        <v>112</v>
      </c>
      <c r="AA1" s="30" t="s">
        <v>115</v>
      </c>
      <c r="AB1" s="29" t="s">
        <v>358</v>
      </c>
      <c r="AD1" s="17" t="s">
        <v>123</v>
      </c>
      <c r="AE1" s="20" t="s">
        <v>121</v>
      </c>
      <c r="AF1" s="20" t="s">
        <v>122</v>
      </c>
      <c r="AH1" s="29" t="s">
        <v>168</v>
      </c>
      <c r="AI1" s="30" t="s">
        <v>169</v>
      </c>
      <c r="AJ1" s="42" t="s">
        <v>170</v>
      </c>
      <c r="AL1" s="42" t="s">
        <v>389</v>
      </c>
      <c r="AT1" s="20" t="s">
        <v>399</v>
      </c>
      <c r="AW1" s="335" t="s">
        <v>445</v>
      </c>
      <c r="AX1" s="335"/>
      <c r="AY1" s="175" t="s">
        <v>447</v>
      </c>
      <c r="AZ1" s="175" t="s">
        <v>446</v>
      </c>
    </row>
    <row r="2" spans="1:70" ht="19.5" customHeight="1" thickBot="1">
      <c r="A2" s="8">
        <v>1600</v>
      </c>
      <c r="D2" s="23"/>
      <c r="E2" s="25" t="s">
        <v>34</v>
      </c>
      <c r="F2" s="25">
        <f>ROUND(TAN(ACOS(F1)),2)</f>
        <v>0.33</v>
      </c>
      <c r="G2" s="25">
        <f>ROUND(TAN(ACOS(G1)),2)</f>
        <v>0.29</v>
      </c>
      <c r="H2" s="25">
        <f>ROUND(TAN(ACOS(H1)),2)</f>
        <v>0.25</v>
      </c>
      <c r="I2" s="25">
        <f>ROUND(TAN(ACOS(I1)),2)</f>
        <v>0.2</v>
      </c>
      <c r="J2" s="25">
        <f>ROUND(TAN(ACOS(J1)),2)</f>
        <v>0.14</v>
      </c>
      <c r="L2" s="13" t="s">
        <v>60</v>
      </c>
      <c r="M2" s="14" t="s">
        <v>61</v>
      </c>
      <c r="N2" s="14" t="s">
        <v>61</v>
      </c>
      <c r="P2" s="13" t="s">
        <v>65</v>
      </c>
      <c r="Q2" s="14">
        <v>2.9</v>
      </c>
      <c r="R2" s="14">
        <v>4.4</v>
      </c>
      <c r="T2" s="18" t="s">
        <v>76</v>
      </c>
      <c r="U2" s="19">
        <v>2.9</v>
      </c>
      <c r="W2" s="26" t="s">
        <v>89</v>
      </c>
      <c r="X2" s="36">
        <v>0.727</v>
      </c>
      <c r="Y2" s="37">
        <v>0.9306</v>
      </c>
      <c r="Z2" s="26" t="s">
        <v>89</v>
      </c>
      <c r="AA2" s="26">
        <f>2*3.14*50*10^(-3)*0.716</f>
        <v>0.224824</v>
      </c>
      <c r="AB2" s="26">
        <f>2*3.14*50*10^(-3)*0.502</f>
        <v>0.157628</v>
      </c>
      <c r="AD2" s="20" t="s">
        <v>119</v>
      </c>
      <c r="AE2" s="20">
        <v>3</v>
      </c>
      <c r="AF2" s="20">
        <v>7</v>
      </c>
      <c r="AH2" s="43" t="s">
        <v>156</v>
      </c>
      <c r="AI2" s="43">
        <v>1.0742</v>
      </c>
      <c r="AJ2" s="44">
        <v>0.4644</v>
      </c>
      <c r="AL2" s="20">
        <v>5</v>
      </c>
      <c r="AQ2" s="20">
        <v>7500</v>
      </c>
      <c r="AR2"/>
      <c r="AS2" s="5"/>
      <c r="AT2" s="20">
        <v>600</v>
      </c>
      <c r="AW2">
        <v>600</v>
      </c>
      <c r="AX2" s="174">
        <v>400</v>
      </c>
      <c r="AY2" t="e">
        <f>INDEX(AW2:AW18,MATCH(#REF!,AW2:AW18,-1),1)</f>
        <v>#REF!</v>
      </c>
      <c r="AZ2" t="e">
        <f>VLOOKUP(AY2,AW2:AX18,2,0)</f>
        <v>#REF!</v>
      </c>
      <c r="BC2" s="20" t="s">
        <v>448</v>
      </c>
      <c r="BD2" s="20">
        <v>1.5</v>
      </c>
      <c r="BE2" s="20">
        <v>2.5</v>
      </c>
      <c r="BF2" s="20">
        <v>4</v>
      </c>
      <c r="BG2" s="20">
        <v>6</v>
      </c>
      <c r="BH2" s="20">
        <v>10</v>
      </c>
      <c r="BI2" s="20">
        <v>16</v>
      </c>
      <c r="BJ2" s="20">
        <v>25</v>
      </c>
      <c r="BK2" s="20">
        <v>35</v>
      </c>
      <c r="BL2" s="20">
        <v>50</v>
      </c>
      <c r="BM2" s="20">
        <v>70</v>
      </c>
      <c r="BN2" s="20">
        <v>95</v>
      </c>
      <c r="BO2" s="20">
        <v>120</v>
      </c>
      <c r="BP2" s="20">
        <v>150</v>
      </c>
      <c r="BQ2" s="20">
        <v>185</v>
      </c>
      <c r="BR2" s="20">
        <v>240</v>
      </c>
    </row>
    <row r="3" spans="1:70" ht="19.5" customHeight="1" thickBot="1">
      <c r="A3" s="8">
        <v>1250</v>
      </c>
      <c r="D3" s="24" t="s">
        <v>35</v>
      </c>
      <c r="E3" s="25" t="s">
        <v>36</v>
      </c>
      <c r="F3" s="336" t="s">
        <v>11</v>
      </c>
      <c r="G3" s="337"/>
      <c r="H3" s="337"/>
      <c r="I3" s="337"/>
      <c r="J3" s="338"/>
      <c r="L3" s="15" t="s">
        <v>203</v>
      </c>
      <c r="M3" s="16">
        <v>0.06944</v>
      </c>
      <c r="N3" s="16">
        <v>0.324</v>
      </c>
      <c r="P3" s="13" t="s">
        <v>66</v>
      </c>
      <c r="Q3" s="14">
        <v>2.5</v>
      </c>
      <c r="R3" s="14">
        <v>3.5</v>
      </c>
      <c r="T3" s="18" t="s">
        <v>77</v>
      </c>
      <c r="U3" s="19">
        <v>2.5</v>
      </c>
      <c r="W3" s="26" t="s">
        <v>90</v>
      </c>
      <c r="X3" s="36">
        <v>0.524</v>
      </c>
      <c r="Y3" s="37">
        <v>0.6707</v>
      </c>
      <c r="Z3" s="26" t="s">
        <v>90</v>
      </c>
      <c r="AA3" s="26">
        <f>2*3.14*50*10^(-3)*0.69</f>
        <v>0.21666</v>
      </c>
      <c r="AB3" s="26">
        <f>2*3.14*50*10^(-3)*0.48</f>
        <v>0.15072</v>
      </c>
      <c r="AD3" s="20" t="s">
        <v>120</v>
      </c>
      <c r="AE3" s="20">
        <v>8</v>
      </c>
      <c r="AF3" s="20">
        <v>4</v>
      </c>
      <c r="AH3" s="43" t="s">
        <v>157</v>
      </c>
      <c r="AI3" s="43">
        <v>0.8543</v>
      </c>
      <c r="AJ3" s="44">
        <v>0.4607</v>
      </c>
      <c r="AL3" s="20">
        <v>10</v>
      </c>
      <c r="AQ3" s="20">
        <v>6000</v>
      </c>
      <c r="AR3"/>
      <c r="AS3" s="5"/>
      <c r="AT3" s="20">
        <v>500</v>
      </c>
      <c r="AW3">
        <v>524</v>
      </c>
      <c r="AX3" s="174">
        <v>300</v>
      </c>
      <c r="AY3" t="e">
        <f>INDEX(AW2:AW18,MATCH(#REF!,AW2:AW18,-1),1)</f>
        <v>#REF!</v>
      </c>
      <c r="AZ3" t="e">
        <f>VLOOKUP(AY3,AW2:AX18,2,0)</f>
        <v>#REF!</v>
      </c>
      <c r="BC3" s="20" t="s">
        <v>449</v>
      </c>
      <c r="BD3" s="177" t="s">
        <v>11</v>
      </c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9"/>
    </row>
    <row r="4" spans="1:70" ht="19.5" customHeight="1" thickBot="1">
      <c r="A4" s="8">
        <v>1000</v>
      </c>
      <c r="D4" s="24">
        <v>0.44</v>
      </c>
      <c r="E4" s="25">
        <f aca="true" t="shared" si="0" ref="E4:E50">ROUND(TAN(ACOS(D4)),2)</f>
        <v>2.04</v>
      </c>
      <c r="F4" s="20">
        <f>E4-F2</f>
        <v>1.71</v>
      </c>
      <c r="G4" s="20">
        <f>E4-G2</f>
        <v>1.75</v>
      </c>
      <c r="H4" s="20">
        <f>E4-H2</f>
        <v>1.79</v>
      </c>
      <c r="I4" s="20">
        <f>E4-I2</f>
        <v>1.84</v>
      </c>
      <c r="J4" s="20">
        <f>E4-J2</f>
        <v>1.9</v>
      </c>
      <c r="L4" s="15" t="s">
        <v>204</v>
      </c>
      <c r="M4" s="16">
        <v>0.07298</v>
      </c>
      <c r="N4" s="16">
        <v>0.3259</v>
      </c>
      <c r="P4" s="13" t="s">
        <v>67</v>
      </c>
      <c r="Q4" s="14">
        <v>3.2</v>
      </c>
      <c r="R4" s="14">
        <v>5.1</v>
      </c>
      <c r="T4" s="18" t="s">
        <v>78</v>
      </c>
      <c r="U4" s="19">
        <v>3.2</v>
      </c>
      <c r="W4" s="26" t="s">
        <v>91</v>
      </c>
      <c r="X4" s="36">
        <v>0.387</v>
      </c>
      <c r="Y4" s="37">
        <v>0.4954</v>
      </c>
      <c r="Z4" s="26" t="s">
        <v>91</v>
      </c>
      <c r="AA4" s="26">
        <f>2*3.14*50*10^(-3)*0.664</f>
        <v>0.20849600000000001</v>
      </c>
      <c r="AB4" s="26">
        <f>2*3.14*50*10^(-3)*0.459</f>
        <v>0.144126</v>
      </c>
      <c r="AH4" s="43" t="s">
        <v>158</v>
      </c>
      <c r="AI4" s="43">
        <v>0.5362</v>
      </c>
      <c r="AJ4" s="44">
        <v>0.1419</v>
      </c>
      <c r="AL4" s="20">
        <v>12</v>
      </c>
      <c r="AQ4" s="20">
        <v>5000</v>
      </c>
      <c r="AR4"/>
      <c r="AS4" s="5"/>
      <c r="AT4" s="20">
        <v>400</v>
      </c>
      <c r="AW4">
        <v>464</v>
      </c>
      <c r="AX4" s="174">
        <v>240</v>
      </c>
      <c r="AY4" t="e">
        <f>INDEX(AW2:AW18,MATCH(#REF!,AW2:AW18,-1),1)</f>
        <v>#REF!</v>
      </c>
      <c r="AZ4" t="e">
        <f>VLOOKUP(AY4,AW2:AX18,2,0)</f>
        <v>#REF!</v>
      </c>
      <c r="BC4" s="20">
        <v>1</v>
      </c>
      <c r="BD4" s="20"/>
      <c r="BE4" s="20"/>
      <c r="BF4" s="20"/>
      <c r="BG4" s="20"/>
      <c r="BH4" s="20"/>
      <c r="BI4" s="20">
        <v>1</v>
      </c>
      <c r="BJ4" s="20">
        <v>1</v>
      </c>
      <c r="BK4" s="20">
        <v>1</v>
      </c>
      <c r="BL4" s="20">
        <v>1</v>
      </c>
      <c r="BM4" s="20">
        <v>1</v>
      </c>
      <c r="BN4" s="20">
        <v>1</v>
      </c>
      <c r="BO4" s="20">
        <v>1</v>
      </c>
      <c r="BP4" s="20">
        <v>1</v>
      </c>
      <c r="BQ4" s="20">
        <v>1</v>
      </c>
      <c r="BR4" s="20">
        <v>1</v>
      </c>
    </row>
    <row r="5" spans="1:70" ht="19.5" customHeight="1" thickBot="1">
      <c r="A5" s="8">
        <v>800</v>
      </c>
      <c r="D5" s="24">
        <v>0.45</v>
      </c>
      <c r="E5" s="25">
        <f t="shared" si="0"/>
        <v>1.98</v>
      </c>
      <c r="F5" s="20">
        <f>E5-F2</f>
        <v>1.65</v>
      </c>
      <c r="G5" s="20">
        <f>E5-G2</f>
        <v>1.69</v>
      </c>
      <c r="H5" s="20">
        <f>E5-H2</f>
        <v>1.73</v>
      </c>
      <c r="I5" s="20">
        <f>E5-I2</f>
        <v>1.78</v>
      </c>
      <c r="J5" s="20">
        <f>E5-J2</f>
        <v>1.8399999999999999</v>
      </c>
      <c r="L5" s="15" t="s">
        <v>205</v>
      </c>
      <c r="M5" s="16">
        <v>0.07565</v>
      </c>
      <c r="N5" s="16">
        <v>0.3265</v>
      </c>
      <c r="P5" s="341" t="s">
        <v>68</v>
      </c>
      <c r="Q5" s="341"/>
      <c r="R5" s="341"/>
      <c r="T5" s="18" t="s">
        <v>79</v>
      </c>
      <c r="U5" s="19">
        <v>4.4</v>
      </c>
      <c r="W5" s="26" t="s">
        <v>92</v>
      </c>
      <c r="X5" s="36">
        <v>0.268</v>
      </c>
      <c r="Y5" s="37">
        <v>0.343</v>
      </c>
      <c r="Z5" s="26" t="s">
        <v>92</v>
      </c>
      <c r="AA5" s="26">
        <f>2*3.14*50*10^(-3)*0.633</f>
        <v>0.198762</v>
      </c>
      <c r="AB5" s="26">
        <f>2*3.14*50*10^(-3)*0.434</f>
        <v>0.136276</v>
      </c>
      <c r="AH5" s="43" t="s">
        <v>159</v>
      </c>
      <c r="AI5" s="43">
        <v>0.3366</v>
      </c>
      <c r="AJ5" s="44">
        <v>0.4433</v>
      </c>
      <c r="AL5" s="20">
        <v>12.5</v>
      </c>
      <c r="AN5" s="20" t="s">
        <v>191</v>
      </c>
      <c r="AO5" s="20" t="s">
        <v>74</v>
      </c>
      <c r="AQ5" s="20">
        <v>4000</v>
      </c>
      <c r="AR5"/>
      <c r="AS5" s="5"/>
      <c r="AT5" s="20">
        <v>300</v>
      </c>
      <c r="AW5">
        <v>399</v>
      </c>
      <c r="AX5" s="174">
        <v>185</v>
      </c>
      <c r="AY5" t="e">
        <f>INDEX(AW2:AW18,MATCH(#REF!,AW2:AW18,-1),1)</f>
        <v>#REF!</v>
      </c>
      <c r="AZ5" t="e">
        <f>VLOOKUP(AY5,AW2:AX18,2,0)</f>
        <v>#REF!</v>
      </c>
      <c r="BC5" s="20">
        <v>0.95</v>
      </c>
      <c r="BD5" s="20"/>
      <c r="BE5" s="20"/>
      <c r="BF5" s="20"/>
      <c r="BG5" s="20"/>
      <c r="BH5" s="20"/>
      <c r="BI5" s="20">
        <v>1.021</v>
      </c>
      <c r="BJ5" s="20">
        <v>1.033</v>
      </c>
      <c r="BK5" s="20">
        <v>1.043</v>
      </c>
      <c r="BL5" s="20">
        <v>1.059</v>
      </c>
      <c r="BM5" s="20">
        <v>1.082</v>
      </c>
      <c r="BN5" s="20">
        <v>1.113</v>
      </c>
      <c r="BO5" s="20">
        <v>1.14</v>
      </c>
      <c r="BP5" s="20">
        <v>1.17</v>
      </c>
      <c r="BQ5" s="20">
        <v>1.213</v>
      </c>
      <c r="BR5" s="20">
        <v>1.273</v>
      </c>
    </row>
    <row r="6" spans="1:70" ht="19.5" customHeight="1" thickBot="1">
      <c r="A6" s="8">
        <v>630</v>
      </c>
      <c r="D6" s="24">
        <v>0.46</v>
      </c>
      <c r="E6" s="25">
        <f t="shared" si="0"/>
        <v>1.93</v>
      </c>
      <c r="F6" s="20">
        <f>E6-F2</f>
        <v>1.5999999999999999</v>
      </c>
      <c r="G6" s="20">
        <f>E6-G2</f>
        <v>1.64</v>
      </c>
      <c r="H6" s="20">
        <f>E6-H2</f>
        <v>1.68</v>
      </c>
      <c r="I6" s="20">
        <f>E6-I2</f>
        <v>1.73</v>
      </c>
      <c r="J6" s="20">
        <f>E6-J2</f>
        <v>1.79</v>
      </c>
      <c r="L6" s="15" t="s">
        <v>206</v>
      </c>
      <c r="M6" s="16">
        <v>0.08217</v>
      </c>
      <c r="N6" s="16">
        <v>0.3277</v>
      </c>
      <c r="P6" s="342"/>
      <c r="Q6" s="342"/>
      <c r="R6" s="342"/>
      <c r="T6" s="18" t="s">
        <v>80</v>
      </c>
      <c r="U6" s="19">
        <v>3.5</v>
      </c>
      <c r="W6" s="26" t="s">
        <v>93</v>
      </c>
      <c r="X6" s="36">
        <v>0.193</v>
      </c>
      <c r="Y6" s="37">
        <v>0.247</v>
      </c>
      <c r="Z6" s="26" t="s">
        <v>93</v>
      </c>
      <c r="AA6" s="26">
        <f>2*3.14*50*10^(-3)*0.609</f>
        <v>0.191226</v>
      </c>
      <c r="AB6" s="26">
        <f>2*3.14*50*10^(-3)*0.416</f>
        <v>0.130624</v>
      </c>
      <c r="AH6" s="43" t="s">
        <v>160</v>
      </c>
      <c r="AI6" s="43">
        <v>0.214</v>
      </c>
      <c r="AJ6" s="44">
        <v>0.3626</v>
      </c>
      <c r="AL6" s="20">
        <v>15</v>
      </c>
      <c r="AN6" s="20">
        <v>1.1</v>
      </c>
      <c r="AO6" s="20">
        <v>0</v>
      </c>
      <c r="AQ6" s="20">
        <v>3000</v>
      </c>
      <c r="AR6"/>
      <c r="AS6" s="5"/>
      <c r="AT6" s="20">
        <v>200</v>
      </c>
      <c r="AW6">
        <v>353</v>
      </c>
      <c r="AX6" s="174">
        <v>150</v>
      </c>
      <c r="AY6" t="e">
        <f>INDEX(AW2:AW18,MATCH(#REF!,AW2:AW18,-1),1)</f>
        <v>#REF!</v>
      </c>
      <c r="AZ6" t="e">
        <f>VLOOKUP(AY6,AW2:AX18,2,0)</f>
        <v>#REF!</v>
      </c>
      <c r="BC6" s="20">
        <v>0.9</v>
      </c>
      <c r="BD6" s="20"/>
      <c r="BE6" s="20"/>
      <c r="BF6" s="20"/>
      <c r="BG6" s="20"/>
      <c r="BH6" s="20"/>
      <c r="BI6" s="20">
        <v>1.031</v>
      </c>
      <c r="BJ6" s="20">
        <v>1.048</v>
      </c>
      <c r="BK6" s="20">
        <v>1.063</v>
      </c>
      <c r="BL6" s="20">
        <v>1.086</v>
      </c>
      <c r="BM6" s="20">
        <v>1.12</v>
      </c>
      <c r="BN6" s="20">
        <v>1.166</v>
      </c>
      <c r="BO6" s="20">
        <v>1.207</v>
      </c>
      <c r="BP6" s="20">
        <v>1.251</v>
      </c>
      <c r="BQ6" s="20">
        <v>1.314</v>
      </c>
      <c r="BR6" s="20">
        <v>1.403</v>
      </c>
    </row>
    <row r="7" spans="1:70" ht="19.5" customHeight="1" thickBot="1">
      <c r="A7" s="8">
        <v>500</v>
      </c>
      <c r="D7" s="24">
        <v>0.47</v>
      </c>
      <c r="E7" s="25">
        <f t="shared" si="0"/>
        <v>1.88</v>
      </c>
      <c r="F7" s="20">
        <f>E7-F2</f>
        <v>1.5499999999999998</v>
      </c>
      <c r="G7" s="20">
        <f>E7-G2</f>
        <v>1.5899999999999999</v>
      </c>
      <c r="H7" s="20">
        <f>E7-H2</f>
        <v>1.63</v>
      </c>
      <c r="I7" s="20">
        <f>E7-I2</f>
        <v>1.68</v>
      </c>
      <c r="J7" s="20">
        <f>E7-J2</f>
        <v>1.7399999999999998</v>
      </c>
      <c r="L7" s="15" t="s">
        <v>207</v>
      </c>
      <c r="M7" s="16">
        <v>0.0905</v>
      </c>
      <c r="N7" s="16">
        <v>0.3315</v>
      </c>
      <c r="T7" s="18" t="s">
        <v>81</v>
      </c>
      <c r="U7" s="19">
        <v>5.1</v>
      </c>
      <c r="W7" s="26" t="s">
        <v>94</v>
      </c>
      <c r="X7" s="36">
        <v>0.153</v>
      </c>
      <c r="Y7" s="37">
        <v>0.1958</v>
      </c>
      <c r="Z7" s="26" t="s">
        <v>94</v>
      </c>
      <c r="AA7" s="26">
        <f>2*3.14*50*10^(-3)*0.59</f>
        <v>0.18525999999999998</v>
      </c>
      <c r="AB7" s="26">
        <f>2*3.14*50*10^(-3)*0.401</f>
        <v>0.125914</v>
      </c>
      <c r="AD7" s="41" t="s">
        <v>143</v>
      </c>
      <c r="AH7" s="43" t="s">
        <v>161</v>
      </c>
      <c r="AI7" s="43">
        <v>0.1897</v>
      </c>
      <c r="AJ7" s="44">
        <v>0.3582</v>
      </c>
      <c r="AL7" s="20">
        <v>20</v>
      </c>
      <c r="AN7" s="20">
        <v>1.2</v>
      </c>
      <c r="AO7" s="20">
        <v>0</v>
      </c>
      <c r="AQ7" s="20">
        <v>2000</v>
      </c>
      <c r="AR7"/>
      <c r="AS7" s="5"/>
      <c r="AT7" s="20">
        <v>100</v>
      </c>
      <c r="AW7">
        <v>313</v>
      </c>
      <c r="AX7" s="174">
        <v>120</v>
      </c>
      <c r="AY7" t="e">
        <f>INDEX(AW2:AW18,MATCH(#REF!,AW2:AW18,-1),1)</f>
        <v>#REF!</v>
      </c>
      <c r="AZ7" t="e">
        <f>VLOOKUP(AY7,AW2:AX18,2,0)</f>
        <v>#REF!</v>
      </c>
      <c r="BC7" s="20">
        <v>0.85</v>
      </c>
      <c r="BD7" s="20"/>
      <c r="BE7" s="20"/>
      <c r="BF7" s="20"/>
      <c r="BG7" s="20"/>
      <c r="BH7" s="20"/>
      <c r="BI7" s="20">
        <v>1.04</v>
      </c>
      <c r="BJ7" s="20">
        <v>1.061</v>
      </c>
      <c r="BK7" s="20">
        <v>1.081</v>
      </c>
      <c r="BL7" s="20">
        <v>1.111</v>
      </c>
      <c r="BM7" s="20">
        <v>1.154</v>
      </c>
      <c r="BN7" s="20">
        <v>1.212</v>
      </c>
      <c r="BO7" s="20">
        <v>1.265</v>
      </c>
      <c r="BP7" s="20">
        <v>1.321</v>
      </c>
      <c r="BQ7" s="20">
        <v>1.402</v>
      </c>
      <c r="BR7" s="20">
        <v>1.515</v>
      </c>
    </row>
    <row r="8" spans="1:70" ht="19.5" customHeight="1" thickBot="1">
      <c r="A8" s="8">
        <v>400</v>
      </c>
      <c r="D8" s="24">
        <v>0.48</v>
      </c>
      <c r="E8" s="25">
        <f t="shared" si="0"/>
        <v>1.83</v>
      </c>
      <c r="F8" s="20">
        <f>E8-F2</f>
        <v>1.5</v>
      </c>
      <c r="G8" s="20">
        <f>E8-G2</f>
        <v>1.54</v>
      </c>
      <c r="H8" s="20">
        <f>E8-H2</f>
        <v>1.58</v>
      </c>
      <c r="I8" s="20">
        <f>E8-I2</f>
        <v>1.6300000000000001</v>
      </c>
      <c r="J8" s="20">
        <f>E8-J2</f>
        <v>1.69</v>
      </c>
      <c r="L8" s="15" t="s">
        <v>208</v>
      </c>
      <c r="M8" s="16">
        <v>0.09882</v>
      </c>
      <c r="N8" s="16">
        <v>0.3352</v>
      </c>
      <c r="W8" s="26" t="s">
        <v>95</v>
      </c>
      <c r="X8" s="36">
        <v>0.124</v>
      </c>
      <c r="Y8" s="37">
        <v>0.1587</v>
      </c>
      <c r="Z8" s="26" t="s">
        <v>95</v>
      </c>
      <c r="AA8" s="26">
        <f>2*3.14*50*10^(-3)*0.572</f>
        <v>0.179608</v>
      </c>
      <c r="AB8" s="26">
        <f>2*3.14*50*10^(-3)*0.389</f>
        <v>0.122146</v>
      </c>
      <c r="AD8" s="18" t="s">
        <v>144</v>
      </c>
      <c r="AH8" s="43" t="s">
        <v>162</v>
      </c>
      <c r="AI8" s="43">
        <v>0.1194</v>
      </c>
      <c r="AJ8" s="44">
        <v>0.3427</v>
      </c>
      <c r="AL8" s="20">
        <v>25</v>
      </c>
      <c r="AN8" s="20">
        <v>1.3</v>
      </c>
      <c r="AO8" s="20">
        <v>0</v>
      </c>
      <c r="AQ8" s="20">
        <v>1500</v>
      </c>
      <c r="AR8"/>
      <c r="AS8" s="5"/>
      <c r="AT8" s="20">
        <v>60</v>
      </c>
      <c r="AW8">
        <v>275</v>
      </c>
      <c r="AX8" s="174">
        <v>95</v>
      </c>
      <c r="AY8" t="e">
        <f>INDEX(AW2:AW18,MATCH(#REF!,AW2:AW18,-1),1)</f>
        <v>#REF!</v>
      </c>
      <c r="AZ8" t="e">
        <f>VLOOKUP(AY8,AW2:AX18,2,0)</f>
        <v>#REF!</v>
      </c>
      <c r="BC8" s="20">
        <v>0.8</v>
      </c>
      <c r="BD8" s="20"/>
      <c r="BE8" s="20"/>
      <c r="BF8" s="20"/>
      <c r="BG8" s="20"/>
      <c r="BH8" s="20"/>
      <c r="BI8" s="20">
        <v>1.049</v>
      </c>
      <c r="BJ8" s="20">
        <v>1.074</v>
      </c>
      <c r="BK8" s="20">
        <v>1.098</v>
      </c>
      <c r="BL8" s="20">
        <v>1.134</v>
      </c>
      <c r="BM8" s="20">
        <v>1.186</v>
      </c>
      <c r="BN8" s="20">
        <v>1.257</v>
      </c>
      <c r="BO8" s="20">
        <v>1.32</v>
      </c>
      <c r="BP8" s="20">
        <v>1.388</v>
      </c>
      <c r="BQ8" s="20">
        <v>1.487</v>
      </c>
      <c r="BR8" s="20">
        <v>1.623</v>
      </c>
    </row>
    <row r="9" spans="1:70" ht="19.5" customHeight="1" thickBot="1">
      <c r="A9" s="8">
        <v>315</v>
      </c>
      <c r="D9" s="24">
        <v>0.49</v>
      </c>
      <c r="E9" s="25">
        <f t="shared" si="0"/>
        <v>1.78</v>
      </c>
      <c r="F9" s="20">
        <f>E9-F2</f>
        <v>1.45</v>
      </c>
      <c r="G9" s="20">
        <f>E9-G2</f>
        <v>1.49</v>
      </c>
      <c r="H9" s="20">
        <f>E9-H2</f>
        <v>1.53</v>
      </c>
      <c r="I9" s="20">
        <f>E9-I2</f>
        <v>1.58</v>
      </c>
      <c r="J9" s="20">
        <f>E9-J2</f>
        <v>1.6400000000000001</v>
      </c>
      <c r="L9" s="15" t="s">
        <v>209</v>
      </c>
      <c r="M9" s="16">
        <v>0.10267</v>
      </c>
      <c r="N9" s="16">
        <v>0.3365</v>
      </c>
      <c r="P9" s="20" t="s">
        <v>54</v>
      </c>
      <c r="Q9" s="20">
        <v>60</v>
      </c>
      <c r="W9" s="26" t="s">
        <v>96</v>
      </c>
      <c r="X9" s="36">
        <v>0.0991</v>
      </c>
      <c r="Y9" s="37">
        <v>0.1268</v>
      </c>
      <c r="Z9" s="26" t="s">
        <v>96</v>
      </c>
      <c r="AA9" s="26">
        <f>2*3.14*50*10^(-3)*0.556</f>
        <v>0.17458400000000002</v>
      </c>
      <c r="AB9" s="26">
        <f>2*3.14*50*10^(-3)*0.376</f>
        <v>0.118064</v>
      </c>
      <c r="AD9" s="18" t="s">
        <v>145</v>
      </c>
      <c r="AH9" s="43" t="s">
        <v>163</v>
      </c>
      <c r="AI9" s="43">
        <v>0.0715</v>
      </c>
      <c r="AJ9" s="44">
        <v>0.3277</v>
      </c>
      <c r="AL9" s="20">
        <v>30</v>
      </c>
      <c r="AN9" s="20">
        <v>1.4</v>
      </c>
      <c r="AO9" s="20">
        <v>0</v>
      </c>
      <c r="AQ9" s="20">
        <v>1250</v>
      </c>
      <c r="AR9"/>
      <c r="AS9" s="5"/>
      <c r="AW9">
        <v>228</v>
      </c>
      <c r="AX9" s="174">
        <v>70</v>
      </c>
      <c r="AY9" t="e">
        <f>INDEX(AW2:AW18,MATCH(#REF!,AW2:AW18,-1),1)</f>
        <v>#REF!</v>
      </c>
      <c r="AZ9" t="e">
        <f>VLOOKUP(AY9,AW2:AX18,2,0)</f>
        <v>#REF!</v>
      </c>
      <c r="BC9" s="20">
        <v>0.75</v>
      </c>
      <c r="BD9" s="20"/>
      <c r="BE9" s="20"/>
      <c r="BF9" s="20"/>
      <c r="BG9" s="20"/>
      <c r="BH9" s="20"/>
      <c r="BI9" s="20">
        <v>1.057</v>
      </c>
      <c r="BJ9" s="20">
        <v>1.087</v>
      </c>
      <c r="BK9" s="20">
        <v>1.115</v>
      </c>
      <c r="BL9" s="20">
        <v>1.157</v>
      </c>
      <c r="BM9" s="20">
        <v>1.219</v>
      </c>
      <c r="BN9" s="20">
        <v>1.302</v>
      </c>
      <c r="BO9" s="20">
        <v>1.376</v>
      </c>
      <c r="BP9" s="20">
        <v>1.456</v>
      </c>
      <c r="BQ9" s="20">
        <v>1.573</v>
      </c>
      <c r="BR9" s="20">
        <v>1.733</v>
      </c>
    </row>
    <row r="10" spans="1:70" ht="19.5" customHeight="1" thickBot="1">
      <c r="A10" s="8">
        <v>250</v>
      </c>
      <c r="D10" s="24">
        <v>0.5</v>
      </c>
      <c r="E10" s="25">
        <f t="shared" si="0"/>
        <v>1.73</v>
      </c>
      <c r="F10" s="20">
        <f>E10-F2</f>
        <v>1.4</v>
      </c>
      <c r="G10" s="20">
        <f>E10-G2</f>
        <v>1.44</v>
      </c>
      <c r="H10" s="20">
        <f>E10-H2</f>
        <v>1.48</v>
      </c>
      <c r="I10" s="20">
        <f>E10-I2</f>
        <v>1.53</v>
      </c>
      <c r="J10" s="20">
        <f>E10-J2</f>
        <v>1.5899999999999999</v>
      </c>
      <c r="L10" s="15" t="s">
        <v>210</v>
      </c>
      <c r="M10" s="16">
        <v>0.10789</v>
      </c>
      <c r="N10" s="16">
        <v>0.3377</v>
      </c>
      <c r="P10" s="20" t="s">
        <v>72</v>
      </c>
      <c r="Q10" s="20">
        <v>20</v>
      </c>
      <c r="W10" s="26" t="s">
        <v>97</v>
      </c>
      <c r="X10" s="36">
        <v>0.0754</v>
      </c>
      <c r="Y10" s="37">
        <v>0.0965</v>
      </c>
      <c r="Z10" s="26" t="s">
        <v>97</v>
      </c>
      <c r="AA10" s="26">
        <f>2*3.14*50*0.535*10^(-3)</f>
        <v>0.16799</v>
      </c>
      <c r="AB10" s="26">
        <f>2*3.14*50*10^(-3)*0.363</f>
        <v>0.113982</v>
      </c>
      <c r="AD10" s="18" t="s">
        <v>146</v>
      </c>
      <c r="AH10" s="43" t="s">
        <v>164</v>
      </c>
      <c r="AI10" s="43">
        <v>0.0718</v>
      </c>
      <c r="AJ10" s="44">
        <v>0.3277</v>
      </c>
      <c r="AL10" s="20">
        <v>40</v>
      </c>
      <c r="AN10" s="20">
        <v>1.5</v>
      </c>
      <c r="AO10" s="20">
        <v>0</v>
      </c>
      <c r="AQ10" s="20">
        <v>1200</v>
      </c>
      <c r="AR10"/>
      <c r="AS10" s="5"/>
      <c r="AW10">
        <v>185</v>
      </c>
      <c r="AX10" s="174">
        <v>50</v>
      </c>
      <c r="AY10" t="e">
        <f>INDEX(AW2:AW18,MATCH(#REF!,AW2:AW18,-1),1)</f>
        <v>#REF!</v>
      </c>
      <c r="AZ10" t="e">
        <f>VLOOKUP(AY10,AW2:AX18,2,0)</f>
        <v>#REF!</v>
      </c>
      <c r="BC10" s="20">
        <v>0.7</v>
      </c>
      <c r="BD10" s="20"/>
      <c r="BE10" s="20"/>
      <c r="BF10" s="20"/>
      <c r="BG10" s="20"/>
      <c r="BH10" s="20"/>
      <c r="BI10" s="20">
        <v>1.066</v>
      </c>
      <c r="BJ10" s="20">
        <v>1.101</v>
      </c>
      <c r="BK10" s="20">
        <v>1.133</v>
      </c>
      <c r="BL10" s="20">
        <v>1.182</v>
      </c>
      <c r="BM10" s="20">
        <v>1.254</v>
      </c>
      <c r="BN10" s="20">
        <v>1.35</v>
      </c>
      <c r="BO10" s="20">
        <v>1.435</v>
      </c>
      <c r="BP10" s="20">
        <v>1.528</v>
      </c>
      <c r="BQ10" s="20">
        <v>1.662</v>
      </c>
      <c r="BR10" s="20">
        <v>1.848</v>
      </c>
    </row>
    <row r="11" spans="1:70" ht="19.5" customHeight="1" thickBot="1">
      <c r="A11" s="8">
        <v>200</v>
      </c>
      <c r="D11" s="24">
        <v>0.51</v>
      </c>
      <c r="E11" s="25">
        <f t="shared" si="0"/>
        <v>1.69</v>
      </c>
      <c r="F11" s="20">
        <f>E11-F2</f>
        <v>1.3599999999999999</v>
      </c>
      <c r="G11" s="20">
        <f>E11-G2</f>
        <v>1.4</v>
      </c>
      <c r="H11" s="20">
        <f>E11-H2</f>
        <v>1.44</v>
      </c>
      <c r="I11" s="20">
        <f>E11-I2</f>
        <v>1.49</v>
      </c>
      <c r="J11" s="20">
        <f>E11-J2</f>
        <v>1.5499999999999998</v>
      </c>
      <c r="L11" s="15" t="s">
        <v>211</v>
      </c>
      <c r="M11" s="16">
        <v>0.11546</v>
      </c>
      <c r="N11" s="16">
        <v>0.3383</v>
      </c>
      <c r="W11" s="26" t="s">
        <v>98</v>
      </c>
      <c r="X11" s="36">
        <v>0.0601</v>
      </c>
      <c r="Y11" s="37">
        <v>0.0769</v>
      </c>
      <c r="Z11" s="26" t="s">
        <v>98</v>
      </c>
      <c r="AA11" s="26">
        <f>2*3.14*50*10^(-3)*0.519</f>
        <v>0.162966</v>
      </c>
      <c r="AB11" s="26">
        <f>2*3.14*50*10^(-3)*0.351</f>
        <v>0.11021399999999999</v>
      </c>
      <c r="AD11" s="18" t="s">
        <v>147</v>
      </c>
      <c r="AH11" s="43" t="s">
        <v>165</v>
      </c>
      <c r="AI11" s="43">
        <v>0.0599</v>
      </c>
      <c r="AJ11" s="44">
        <v>0.324</v>
      </c>
      <c r="AL11" s="20">
        <v>50</v>
      </c>
      <c r="AN11" s="20">
        <v>1.6</v>
      </c>
      <c r="AO11" s="20">
        <v>0.025</v>
      </c>
      <c r="AQ11" s="20">
        <v>1000</v>
      </c>
      <c r="AR11"/>
      <c r="AS11" s="5"/>
      <c r="AT11" s="7"/>
      <c r="AW11">
        <v>157</v>
      </c>
      <c r="AX11" s="174">
        <v>35</v>
      </c>
      <c r="AY11" t="e">
        <f>INDEX(AW2:AW18,MATCH(#REF!,AW2:AW18,-1),1)</f>
        <v>#REF!</v>
      </c>
      <c r="AZ11" t="e">
        <f>VLOOKUP(AY11,AW2:AX18,2,0)</f>
        <v>#REF!</v>
      </c>
      <c r="BC11" s="20">
        <v>0.65</v>
      </c>
      <c r="BD11" s="20"/>
      <c r="BE11" s="20"/>
      <c r="BF11" s="20"/>
      <c r="BG11" s="20"/>
      <c r="BH11" s="20"/>
      <c r="BI11" s="20">
        <v>1.076</v>
      </c>
      <c r="BJ11" s="20">
        <v>1.116</v>
      </c>
      <c r="BK11" s="20">
        <v>1.153</v>
      </c>
      <c r="BL11" s="20">
        <v>1.209</v>
      </c>
      <c r="BM11" s="20">
        <v>1.291</v>
      </c>
      <c r="BN11" s="20">
        <v>1.401</v>
      </c>
      <c r="BO11" s="20">
        <v>1.499</v>
      </c>
      <c r="BP11" s="20">
        <v>1.605</v>
      </c>
      <c r="BQ11" s="20">
        <v>1.759</v>
      </c>
      <c r="BR11" s="20">
        <v>1.972</v>
      </c>
    </row>
    <row r="12" spans="1:70" ht="19.5" customHeight="1" thickBot="1">
      <c r="A12" s="8">
        <v>160</v>
      </c>
      <c r="D12" s="24">
        <v>0.52</v>
      </c>
      <c r="E12" s="25">
        <f t="shared" si="0"/>
        <v>1.64</v>
      </c>
      <c r="F12" s="20">
        <f>E12-F2</f>
        <v>1.3099999999999998</v>
      </c>
      <c r="G12" s="20">
        <f>E12-G2</f>
        <v>1.3499999999999999</v>
      </c>
      <c r="H12" s="20">
        <f>E12-H2</f>
        <v>1.39</v>
      </c>
      <c r="I12" s="20">
        <f>E12-I2</f>
        <v>1.44</v>
      </c>
      <c r="J12" s="20">
        <f>E12-J2</f>
        <v>1.5</v>
      </c>
      <c r="L12" s="15" t="s">
        <v>212</v>
      </c>
      <c r="M12" s="16">
        <v>0.12795</v>
      </c>
      <c r="N12" s="16">
        <v>0.3402</v>
      </c>
      <c r="W12" s="26" t="s">
        <v>99</v>
      </c>
      <c r="X12" s="36">
        <v>0.047</v>
      </c>
      <c r="Y12" s="37">
        <v>0.0602</v>
      </c>
      <c r="Z12" s="26" t="s">
        <v>99</v>
      </c>
      <c r="AA12" s="26">
        <f>2*3.14*50*10^(-3)*0.497</f>
        <v>0.156058</v>
      </c>
      <c r="AB12" s="26">
        <f>2*3.14*50*10^(-3)*0.338</f>
        <v>0.106132</v>
      </c>
      <c r="AD12" s="18" t="s">
        <v>148</v>
      </c>
      <c r="AH12" s="43" t="s">
        <v>166</v>
      </c>
      <c r="AI12" s="43">
        <v>0.0597</v>
      </c>
      <c r="AJ12" s="44">
        <v>0.324</v>
      </c>
      <c r="AL12" s="20">
        <v>60</v>
      </c>
      <c r="AN12" s="20">
        <v>1.7</v>
      </c>
      <c r="AO12" s="20">
        <v>0.05</v>
      </c>
      <c r="AQ12" s="20">
        <v>750</v>
      </c>
      <c r="AR12"/>
      <c r="AS12" s="5"/>
      <c r="AW12">
        <v>128</v>
      </c>
      <c r="AX12" s="174">
        <v>25</v>
      </c>
      <c r="AY12" t="e">
        <f>INDEX(AW2:AW18,MATCH(#REF!,AW2:AW18,-1),1)</f>
        <v>#REF!</v>
      </c>
      <c r="AZ12" t="e">
        <f>VLOOKUP(AY12,AW2:AX18,2,0)</f>
        <v>#REF!</v>
      </c>
      <c r="BC12" s="20">
        <v>0.6</v>
      </c>
      <c r="BD12" s="20"/>
      <c r="BE12" s="20"/>
      <c r="BF12" s="20"/>
      <c r="BG12" s="20"/>
      <c r="BH12" s="20"/>
      <c r="BI12" s="20">
        <v>1.087</v>
      </c>
      <c r="BJ12" s="20">
        <v>1.132</v>
      </c>
      <c r="BK12" s="20">
        <v>1.174</v>
      </c>
      <c r="BL12" s="20">
        <v>1.238</v>
      </c>
      <c r="BM12" s="20">
        <v>1.331</v>
      </c>
      <c r="BN12" s="20">
        <v>1.457</v>
      </c>
      <c r="BO12" s="20">
        <v>1.569</v>
      </c>
      <c r="BP12" s="20">
        <v>1.69</v>
      </c>
      <c r="BQ12" s="20">
        <v>1.866</v>
      </c>
      <c r="BR12" s="20">
        <v>2.108</v>
      </c>
    </row>
    <row r="13" spans="1:70" ht="19.5" customHeight="1" thickBot="1">
      <c r="A13" s="8">
        <v>125</v>
      </c>
      <c r="D13" s="24">
        <v>0.53</v>
      </c>
      <c r="E13" s="25">
        <f t="shared" si="0"/>
        <v>1.6</v>
      </c>
      <c r="F13" s="20">
        <f>E13-F2</f>
        <v>1.27</v>
      </c>
      <c r="G13" s="20">
        <f>E13-G2</f>
        <v>1.31</v>
      </c>
      <c r="H13" s="20">
        <f>E13-H2</f>
        <v>1.35</v>
      </c>
      <c r="I13" s="20">
        <f>E13-I2</f>
        <v>1.4000000000000001</v>
      </c>
      <c r="J13" s="20">
        <f>E13-J2</f>
        <v>1.46</v>
      </c>
      <c r="L13" s="15" t="s">
        <v>213</v>
      </c>
      <c r="M13" s="16">
        <v>0.13416</v>
      </c>
      <c r="N13" s="16">
        <v>0.3427</v>
      </c>
      <c r="R13" s="20">
        <v>2500</v>
      </c>
      <c r="S13" s="138">
        <v>40</v>
      </c>
      <c r="T13" s="20">
        <v>65</v>
      </c>
      <c r="W13" s="26" t="s">
        <v>100</v>
      </c>
      <c r="X13" s="36">
        <v>0.0366</v>
      </c>
      <c r="Y13" s="37">
        <v>0.0468</v>
      </c>
      <c r="Z13" s="26" t="s">
        <v>100</v>
      </c>
      <c r="AA13" s="26">
        <f>2*3.14*50*10^(-3)*0.481</f>
        <v>0.151034</v>
      </c>
      <c r="AB13" s="26">
        <f>2*3.14*50*10^(-3)*0.328</f>
        <v>0.102992</v>
      </c>
      <c r="AD13" s="18" t="s">
        <v>149</v>
      </c>
      <c r="AH13" s="43" t="s">
        <v>167</v>
      </c>
      <c r="AI13" s="43">
        <v>0.0499</v>
      </c>
      <c r="AJ13" s="44"/>
      <c r="AL13" s="20">
        <v>75</v>
      </c>
      <c r="AN13" s="20">
        <v>1.8</v>
      </c>
      <c r="AO13" s="20">
        <v>0.1</v>
      </c>
      <c r="AQ13" s="20">
        <v>600</v>
      </c>
      <c r="AR13"/>
      <c r="AS13" s="5"/>
      <c r="AW13">
        <v>98</v>
      </c>
      <c r="AX13" s="174">
        <v>16</v>
      </c>
      <c r="AY13" t="e">
        <f>INDEX(AW2:AW18,MATCH(#REF!,AW2:AW18,-1),1)</f>
        <v>#REF!</v>
      </c>
      <c r="AZ13" t="e">
        <f>VLOOKUP(AY13,AW2:AX18,2,0)</f>
        <v>#REF!</v>
      </c>
      <c r="BC13" s="20">
        <v>0.55</v>
      </c>
      <c r="BD13" s="20"/>
      <c r="BE13" s="20"/>
      <c r="BF13" s="20"/>
      <c r="BG13" s="20"/>
      <c r="BH13" s="20"/>
      <c r="BI13" s="20">
        <v>1.099</v>
      </c>
      <c r="BJ13" s="20">
        <v>1.15</v>
      </c>
      <c r="BK13" s="20">
        <v>1.199</v>
      </c>
      <c r="BL13" s="20">
        <v>1.271</v>
      </c>
      <c r="BM13" s="20">
        <v>1.377</v>
      </c>
      <c r="BN13" s="20">
        <v>1.52</v>
      </c>
      <c r="BO13" s="20">
        <v>1.648</v>
      </c>
      <c r="BP13" s="20">
        <v>1.786</v>
      </c>
      <c r="BQ13" s="20">
        <v>1.986</v>
      </c>
      <c r="BR13" s="20">
        <v>2.262</v>
      </c>
    </row>
    <row r="14" spans="1:70" ht="19.5" customHeight="1" thickBot="1">
      <c r="A14" s="8">
        <v>100</v>
      </c>
      <c r="D14" s="24">
        <v>0.54</v>
      </c>
      <c r="E14" s="25">
        <f t="shared" si="0"/>
        <v>1.56</v>
      </c>
      <c r="F14" s="20">
        <f>E14-F2</f>
        <v>1.23</v>
      </c>
      <c r="G14" s="20">
        <f>E14-G2</f>
        <v>1.27</v>
      </c>
      <c r="H14" s="20">
        <f>E14-H2</f>
        <v>1.31</v>
      </c>
      <c r="I14" s="20">
        <f>E14-I2</f>
        <v>1.36</v>
      </c>
      <c r="J14" s="20">
        <f>E14-J2</f>
        <v>1.42</v>
      </c>
      <c r="L14" s="15" t="s">
        <v>214</v>
      </c>
      <c r="M14" s="16">
        <v>0.16087</v>
      </c>
      <c r="N14" s="16">
        <v>0.3489</v>
      </c>
      <c r="R14" s="20">
        <v>2000</v>
      </c>
      <c r="S14" s="138">
        <v>31.5</v>
      </c>
      <c r="T14" s="20">
        <v>50</v>
      </c>
      <c r="W14" s="26" t="s">
        <v>101</v>
      </c>
      <c r="X14" s="36">
        <v>0.0283</v>
      </c>
      <c r="Y14" s="37">
        <v>0.0362</v>
      </c>
      <c r="Z14" s="26" t="s">
        <v>101</v>
      </c>
      <c r="AA14" s="33">
        <f>2*3.14*50*10^(-3)*0.464</f>
        <v>0.14569600000000002</v>
      </c>
      <c r="AB14" s="33">
        <f>2*3.14*50*10^(-3)*0.317</f>
        <v>0.099538</v>
      </c>
      <c r="AD14" s="18" t="s">
        <v>150</v>
      </c>
      <c r="AL14" s="20">
        <v>100</v>
      </c>
      <c r="AN14" s="20">
        <v>1.9</v>
      </c>
      <c r="AO14" s="20">
        <v>0.2</v>
      </c>
      <c r="AQ14" s="20">
        <v>500</v>
      </c>
      <c r="AR14"/>
      <c r="AS14" s="5"/>
      <c r="AW14">
        <v>75</v>
      </c>
      <c r="AX14" s="174">
        <v>16</v>
      </c>
      <c r="AY14" t="e">
        <f>INDEX(AW2:AW18,MATCH(#REF!,AW2:AW18,-1),1)</f>
        <v>#REF!</v>
      </c>
      <c r="AZ14" t="e">
        <f>VLOOKUP(AY14,AW2:AX18,2,0)</f>
        <v>#REF!</v>
      </c>
      <c r="BC14" s="20">
        <v>0.5</v>
      </c>
      <c r="BD14" s="20"/>
      <c r="BE14" s="20"/>
      <c r="BF14" s="20"/>
      <c r="BG14" s="20"/>
      <c r="BH14" s="20"/>
      <c r="BI14" s="20">
        <v>1.112</v>
      </c>
      <c r="BJ14" s="20">
        <v>1.171</v>
      </c>
      <c r="BK14" s="20">
        <v>1.227</v>
      </c>
      <c r="BL14" s="20">
        <v>1.309</v>
      </c>
      <c r="BM14" s="20">
        <v>1.431</v>
      </c>
      <c r="BN14" s="20">
        <v>1.593</v>
      </c>
      <c r="BO14" s="20">
        <v>1.739</v>
      </c>
      <c r="BP14" s="20">
        <v>1.896</v>
      </c>
      <c r="BQ14" s="20">
        <v>2.125</v>
      </c>
      <c r="BR14" s="20">
        <v>2.44</v>
      </c>
    </row>
    <row r="15" spans="1:70" ht="19.5" customHeight="1" thickBot="1">
      <c r="A15" s="8">
        <v>80</v>
      </c>
      <c r="D15" s="24">
        <v>0.55</v>
      </c>
      <c r="E15" s="25">
        <f t="shared" si="0"/>
        <v>1.52</v>
      </c>
      <c r="F15" s="20">
        <f>E15-F2</f>
        <v>1.19</v>
      </c>
      <c r="G15" s="20">
        <f>E15-G2</f>
        <v>1.23</v>
      </c>
      <c r="H15" s="20">
        <f>E15-H2</f>
        <v>1.27</v>
      </c>
      <c r="I15" s="20">
        <f>E15-I2</f>
        <v>1.32</v>
      </c>
      <c r="J15" s="20">
        <f>E15-J2</f>
        <v>1.38</v>
      </c>
      <c r="L15" s="15" t="s">
        <v>215</v>
      </c>
      <c r="M15" s="16">
        <v>0.19006</v>
      </c>
      <c r="N15" s="16">
        <v>0.3538</v>
      </c>
      <c r="R15" s="20">
        <v>1600</v>
      </c>
      <c r="S15" s="138">
        <v>25</v>
      </c>
      <c r="T15" s="20"/>
      <c r="W15" s="27" t="s">
        <v>102</v>
      </c>
      <c r="X15" s="38">
        <v>0.524</v>
      </c>
      <c r="Y15" s="38">
        <v>0.524</v>
      </c>
      <c r="Z15" s="31" t="s">
        <v>102</v>
      </c>
      <c r="AA15" s="40">
        <f>2*3.14*50*10^(-3)*0.471</f>
        <v>0.147894</v>
      </c>
      <c r="AB15" s="40">
        <f>2*3.14*50*10^(-3)*0.471</f>
        <v>0.147894</v>
      </c>
      <c r="AD15" s="18" t="s">
        <v>151</v>
      </c>
      <c r="AL15" s="20">
        <v>120</v>
      </c>
      <c r="AQ15" s="20">
        <v>400</v>
      </c>
      <c r="AR15"/>
      <c r="AS15" s="5"/>
      <c r="AW15">
        <v>56</v>
      </c>
      <c r="AX15" s="176">
        <v>16</v>
      </c>
      <c r="AY15" t="e">
        <f>INDEX(AW2:AW18,MATCH(#REF!,AW2:AW18,-1),1)</f>
        <v>#REF!</v>
      </c>
      <c r="AZ15" t="e">
        <f>VLOOKUP(AY15,AW2:AX18,2,0)</f>
        <v>#REF!</v>
      </c>
      <c r="BC15" s="20">
        <v>0.45</v>
      </c>
      <c r="BD15" s="20"/>
      <c r="BE15" s="20"/>
      <c r="BF15" s="20"/>
      <c r="BG15" s="20"/>
      <c r="BH15" s="20"/>
      <c r="BI15" s="20">
        <v>1.129</v>
      </c>
      <c r="BJ15" s="20">
        <v>1.196</v>
      </c>
      <c r="BK15" s="20">
        <v>1.26</v>
      </c>
      <c r="BL15" s="20">
        <v>1.354</v>
      </c>
      <c r="BM15" s="20">
        <v>1.493</v>
      </c>
      <c r="BN15" s="20">
        <v>1.68</v>
      </c>
      <c r="BO15" s="20">
        <v>1.847</v>
      </c>
      <c r="BP15" s="20">
        <v>2.027</v>
      </c>
      <c r="BQ15" s="20">
        <v>2.288</v>
      </c>
      <c r="BR15" s="20">
        <v>2.65</v>
      </c>
    </row>
    <row r="16" spans="1:70" ht="19.5" customHeight="1" thickBot="1">
      <c r="A16" s="8">
        <v>63</v>
      </c>
      <c r="D16" s="24">
        <v>0.56</v>
      </c>
      <c r="E16" s="25">
        <f t="shared" si="0"/>
        <v>1.48</v>
      </c>
      <c r="F16" s="20">
        <f>E16-F2</f>
        <v>1.15</v>
      </c>
      <c r="G16" s="20">
        <f>E16-G2</f>
        <v>1.19</v>
      </c>
      <c r="H16" s="20">
        <f>E16-H2</f>
        <v>1.23</v>
      </c>
      <c r="I16" s="20">
        <f>E16-I2</f>
        <v>1.28</v>
      </c>
      <c r="J16" s="20">
        <f>E16-J2</f>
        <v>1.3399999999999999</v>
      </c>
      <c r="L16" s="15" t="s">
        <v>216</v>
      </c>
      <c r="M16" s="16">
        <v>0.21244</v>
      </c>
      <c r="N16" s="16">
        <v>0.3582</v>
      </c>
      <c r="R16" s="20">
        <v>1250</v>
      </c>
      <c r="S16" s="138">
        <v>20</v>
      </c>
      <c r="T16" s="20"/>
      <c r="W16" s="28" t="s">
        <v>103</v>
      </c>
      <c r="X16" s="39">
        <v>0.387</v>
      </c>
      <c r="Y16" s="39">
        <v>0.387</v>
      </c>
      <c r="Z16" s="32" t="s">
        <v>103</v>
      </c>
      <c r="AA16" s="40">
        <f>2*3.14*50*10^(-3)*0.448</f>
        <v>0.140672</v>
      </c>
      <c r="AB16" s="40">
        <f>2*3.14*50*10^(-3)*0.448</f>
        <v>0.140672</v>
      </c>
      <c r="AD16" s="18" t="s">
        <v>152</v>
      </c>
      <c r="AL16" s="20">
        <v>125</v>
      </c>
      <c r="AN16" s="20" t="s">
        <v>390</v>
      </c>
      <c r="AO16" s="20" t="s">
        <v>391</v>
      </c>
      <c r="AQ16" s="118">
        <v>300</v>
      </c>
      <c r="AR16"/>
      <c r="AS16" s="119"/>
      <c r="AW16">
        <v>44</v>
      </c>
      <c r="AX16" s="176">
        <v>16</v>
      </c>
      <c r="AY16" t="e">
        <f>INDEX(AW2:AW18,MATCH(#REF!,AW2:AW18,-1),1)</f>
        <v>#REF!</v>
      </c>
      <c r="AZ16" t="e">
        <f>VLOOKUP(AY16,AW2:AX18,2,0)</f>
        <v>#REF!</v>
      </c>
      <c r="BC16" s="20">
        <v>0.4</v>
      </c>
      <c r="BD16" s="20"/>
      <c r="BE16" s="20"/>
      <c r="BF16" s="20"/>
      <c r="BG16" s="20"/>
      <c r="BH16" s="20"/>
      <c r="BI16" s="20">
        <v>1.149</v>
      </c>
      <c r="BJ16" s="20">
        <v>1.227</v>
      </c>
      <c r="BK16" s="20">
        <v>1.3</v>
      </c>
      <c r="BL16" s="20">
        <v>1.409</v>
      </c>
      <c r="BM16" s="20">
        <v>1.57</v>
      </c>
      <c r="BN16" s="20">
        <v>1.785</v>
      </c>
      <c r="BO16" s="20">
        <v>1.978</v>
      </c>
      <c r="BP16" s="20">
        <v>2.185</v>
      </c>
      <c r="BQ16" s="20">
        <v>2.488</v>
      </c>
      <c r="BR16" s="20">
        <v>2.905</v>
      </c>
    </row>
    <row r="17" spans="1:70" ht="19.5" customHeight="1" thickBot="1">
      <c r="A17" s="8">
        <v>50</v>
      </c>
      <c r="D17" s="24">
        <v>0.57</v>
      </c>
      <c r="E17" s="25">
        <f t="shared" si="0"/>
        <v>1.44</v>
      </c>
      <c r="F17" s="20">
        <f>E17-F2</f>
        <v>1.1099999999999999</v>
      </c>
      <c r="G17" s="20">
        <f>E17-G2</f>
        <v>1.15</v>
      </c>
      <c r="H17" s="20">
        <f>E17-H2</f>
        <v>1.19</v>
      </c>
      <c r="I17" s="20">
        <f>E17-I2</f>
        <v>1.24</v>
      </c>
      <c r="J17" s="20">
        <f>E17-J2</f>
        <v>1.2999999999999998</v>
      </c>
      <c r="L17" s="15" t="s">
        <v>217</v>
      </c>
      <c r="M17" s="16">
        <v>0.23913</v>
      </c>
      <c r="N17" s="16">
        <v>0.3626</v>
      </c>
      <c r="R17" s="20">
        <v>630</v>
      </c>
      <c r="S17" s="138">
        <v>16</v>
      </c>
      <c r="T17" s="20"/>
      <c r="W17" s="28" t="s">
        <v>104</v>
      </c>
      <c r="X17" s="39">
        <v>0.268</v>
      </c>
      <c r="Y17" s="39">
        <v>0.268</v>
      </c>
      <c r="Z17" s="32" t="s">
        <v>104</v>
      </c>
      <c r="AA17" s="40">
        <f>2*3.14*50*10^(-3)*0.423</f>
        <v>0.132822</v>
      </c>
      <c r="AB17" s="40">
        <f>2*3.14*50*10^(-3)*0.423</f>
        <v>0.132822</v>
      </c>
      <c r="AD17" s="18" t="s">
        <v>153</v>
      </c>
      <c r="AH17" s="20" t="s">
        <v>393</v>
      </c>
      <c r="AI17" s="20">
        <v>0.5</v>
      </c>
      <c r="AL17" s="20">
        <v>200</v>
      </c>
      <c r="AN17" s="20">
        <v>1</v>
      </c>
      <c r="AO17" s="20">
        <v>1</v>
      </c>
      <c r="AQ17" s="118">
        <v>250</v>
      </c>
      <c r="AR17"/>
      <c r="AS17" s="119"/>
      <c r="AW17">
        <v>34</v>
      </c>
      <c r="AX17" s="176">
        <v>16</v>
      </c>
      <c r="AY17" t="e">
        <f>INDEX(AW2:AW18,MATCH(#REF!,AW2:AW18,-1),1)</f>
        <v>#REF!</v>
      </c>
      <c r="AZ17" t="e">
        <f>VLOOKUP(AY17,AW2:AX18,2,0)</f>
        <v>#REF!</v>
      </c>
      <c r="BC17" s="20">
        <v>0.35</v>
      </c>
      <c r="BD17" s="20"/>
      <c r="BE17" s="20"/>
      <c r="BF17" s="20"/>
      <c r="BG17" s="20"/>
      <c r="BH17" s="20"/>
      <c r="BI17" s="20">
        <v>1.174</v>
      </c>
      <c r="BJ17" s="20">
        <v>1.265</v>
      </c>
      <c r="BK17" s="20">
        <v>1.35</v>
      </c>
      <c r="BL17" s="20">
        <v>1.478</v>
      </c>
      <c r="BM17" s="20">
        <v>1.665</v>
      </c>
      <c r="BN17" s="20">
        <v>1.917</v>
      </c>
      <c r="BO17" s="20">
        <v>2.142</v>
      </c>
      <c r="BP17" s="20">
        <v>2.385</v>
      </c>
      <c r="BQ17" s="20">
        <v>2.738</v>
      </c>
      <c r="BR17" s="20">
        <v>3.225</v>
      </c>
    </row>
    <row r="18" spans="1:70" ht="19.5" customHeight="1" thickBot="1">
      <c r="A18" s="8">
        <v>40</v>
      </c>
      <c r="D18" s="24">
        <v>0.58</v>
      </c>
      <c r="E18" s="25">
        <f t="shared" si="0"/>
        <v>1.4</v>
      </c>
      <c r="F18" s="20">
        <f>E18-F2</f>
        <v>1.0699999999999998</v>
      </c>
      <c r="G18" s="20">
        <f>E18-G2</f>
        <v>1.1099999999999999</v>
      </c>
      <c r="H18" s="20">
        <f>E18-H2</f>
        <v>1.15</v>
      </c>
      <c r="I18" s="20">
        <f>E18-I2</f>
        <v>1.2</v>
      </c>
      <c r="J18" s="20">
        <f>E18-J2</f>
        <v>1.2599999999999998</v>
      </c>
      <c r="L18" s="15" t="s">
        <v>199</v>
      </c>
      <c r="M18" s="16">
        <v>0.35217</v>
      </c>
      <c r="N18" s="16">
        <v>0.4228</v>
      </c>
      <c r="O18">
        <v>211.6</v>
      </c>
      <c r="S18" s="173"/>
      <c r="W18" s="28" t="s">
        <v>105</v>
      </c>
      <c r="X18" s="39">
        <v>0.193</v>
      </c>
      <c r="Y18" s="39">
        <v>0.193</v>
      </c>
      <c r="Z18" s="32" t="s">
        <v>105</v>
      </c>
      <c r="AA18" s="40">
        <f>2*3.14*50*10^(-3)*0.401</f>
        <v>0.125914</v>
      </c>
      <c r="AB18" s="40">
        <f>2*3.14*50*10^(-3)*0.401</f>
        <v>0.125914</v>
      </c>
      <c r="AD18" s="18" t="s">
        <v>154</v>
      </c>
      <c r="AH18" s="20" t="s">
        <v>394</v>
      </c>
      <c r="AI18" s="20">
        <v>1</v>
      </c>
      <c r="AL18" s="20">
        <v>250</v>
      </c>
      <c r="AN18" s="20">
        <v>1.25</v>
      </c>
      <c r="AO18" s="20">
        <v>0.9</v>
      </c>
      <c r="AQ18" s="118">
        <v>200</v>
      </c>
      <c r="AR18"/>
      <c r="AS18" s="119"/>
      <c r="AW18">
        <v>26</v>
      </c>
      <c r="AX18" s="176">
        <v>16</v>
      </c>
      <c r="AY18" t="e">
        <f>INDEX(AW2:AW18,MATCH(#REF!,AW2:AW18,-1),1)</f>
        <v>#REF!</v>
      </c>
      <c r="AZ18" t="e">
        <f>VLOOKUP(AY18,AW2:AX18,2,0)</f>
        <v>#REF!</v>
      </c>
      <c r="BC18" s="20">
        <v>0.3</v>
      </c>
      <c r="BD18" s="20"/>
      <c r="BE18" s="20"/>
      <c r="BF18" s="20"/>
      <c r="BG18" s="20"/>
      <c r="BH18" s="20"/>
      <c r="BI18" s="20">
        <v>1.206</v>
      </c>
      <c r="BJ18" s="20">
        <v>1.315</v>
      </c>
      <c r="BK18" s="20">
        <v>1.416</v>
      </c>
      <c r="BL18" s="20">
        <v>1.567</v>
      </c>
      <c r="BM18" s="20">
        <v>1.79</v>
      </c>
      <c r="BN18" s="20">
        <v>2.089</v>
      </c>
      <c r="BO18" s="20">
        <v>2.357</v>
      </c>
      <c r="BP18" s="20">
        <v>2.645</v>
      </c>
      <c r="BQ18" s="20">
        <v>3.065</v>
      </c>
      <c r="BR18" s="20">
        <v>3.643</v>
      </c>
    </row>
    <row r="19" spans="1:70" ht="19.5" customHeight="1" thickBot="1">
      <c r="A19" s="8">
        <v>25</v>
      </c>
      <c r="D19" s="24">
        <v>0.59</v>
      </c>
      <c r="E19" s="25">
        <f t="shared" si="0"/>
        <v>1.37</v>
      </c>
      <c r="F19" s="20">
        <f>E19-F2</f>
        <v>1.04</v>
      </c>
      <c r="G19" s="20">
        <f>E19-G2</f>
        <v>1.08</v>
      </c>
      <c r="H19" s="20">
        <f>E19-H2</f>
        <v>1.12</v>
      </c>
      <c r="I19" s="20">
        <f>E19-I2</f>
        <v>1.1700000000000002</v>
      </c>
      <c r="J19" s="20">
        <f>E19-J2</f>
        <v>1.23</v>
      </c>
      <c r="L19" s="15" t="s">
        <v>200</v>
      </c>
      <c r="M19" s="16">
        <v>0.43291</v>
      </c>
      <c r="N19" s="16">
        <v>0.4433</v>
      </c>
      <c r="O19">
        <v>167.8</v>
      </c>
      <c r="S19" s="173"/>
      <c r="W19" s="28" t="s">
        <v>106</v>
      </c>
      <c r="X19" s="39">
        <v>0.153</v>
      </c>
      <c r="Y19" s="39">
        <v>0.153</v>
      </c>
      <c r="Z19" s="32" t="s">
        <v>106</v>
      </c>
      <c r="AA19" s="40">
        <f>2*3.14*50*10^(-3)*0.384</f>
        <v>0.120576</v>
      </c>
      <c r="AB19" s="40">
        <f>2*3.14*50*10^(-3)*0.384</f>
        <v>0.120576</v>
      </c>
      <c r="AD19" s="18" t="s">
        <v>155</v>
      </c>
      <c r="AI19">
        <v>3</v>
      </c>
      <c r="AL19" s="20">
        <v>300</v>
      </c>
      <c r="AQ19" s="118">
        <v>125</v>
      </c>
      <c r="AR19"/>
      <c r="AS19" s="119"/>
      <c r="BC19" s="20">
        <v>0.25</v>
      </c>
      <c r="BD19" s="20"/>
      <c r="BE19" s="20"/>
      <c r="BF19" s="20"/>
      <c r="BG19" s="20"/>
      <c r="BH19" s="20"/>
      <c r="BI19" s="20">
        <v>1.251</v>
      </c>
      <c r="BJ19" s="20">
        <v>1.383</v>
      </c>
      <c r="BK19" s="20">
        <v>1.506</v>
      </c>
      <c r="BL19" s="20">
        <v>1.691</v>
      </c>
      <c r="BM19" s="20">
        <v>1.963</v>
      </c>
      <c r="BN19" s="20">
        <v>2.327</v>
      </c>
      <c r="BO19" s="20">
        <v>2.653</v>
      </c>
      <c r="BP19" s="20">
        <v>3.004</v>
      </c>
      <c r="BQ19" s="20">
        <v>3.515</v>
      </c>
      <c r="BR19" s="20">
        <v>4.219</v>
      </c>
    </row>
    <row r="20" spans="4:70" ht="19.5" customHeight="1" thickBot="1">
      <c r="D20" s="24">
        <v>0.6</v>
      </c>
      <c r="E20" s="25">
        <f t="shared" si="0"/>
        <v>1.33</v>
      </c>
      <c r="F20" s="20">
        <f>E20-F2</f>
        <v>1</v>
      </c>
      <c r="G20" s="20">
        <f>E20-G2</f>
        <v>1.04</v>
      </c>
      <c r="H20" s="20">
        <f>E20-H2</f>
        <v>1.08</v>
      </c>
      <c r="I20" s="20">
        <f>E20-I2</f>
        <v>1.1300000000000001</v>
      </c>
      <c r="J20" s="20">
        <f>E20-J2</f>
        <v>1.19</v>
      </c>
      <c r="L20" s="15" t="s">
        <v>201</v>
      </c>
      <c r="M20" s="16">
        <v>0.53789</v>
      </c>
      <c r="N20" s="16">
        <v>0.4538</v>
      </c>
      <c r="O20">
        <v>133.1</v>
      </c>
      <c r="W20" s="28" t="s">
        <v>107</v>
      </c>
      <c r="X20" s="39">
        <v>0.124</v>
      </c>
      <c r="Y20" s="39">
        <v>0.124</v>
      </c>
      <c r="Z20" s="32" t="s">
        <v>107</v>
      </c>
      <c r="AA20" s="40">
        <f>2*3.14*50*10^(-3)*0.372</f>
        <v>0.116808</v>
      </c>
      <c r="AB20" s="40">
        <f>2*3.14*50*10^(-3)*0.372</f>
        <v>0.116808</v>
      </c>
      <c r="AL20" s="20">
        <v>400</v>
      </c>
      <c r="AQ20" s="118">
        <v>120</v>
      </c>
      <c r="AR20"/>
      <c r="AS20" s="119"/>
      <c r="BC20" s="20">
        <v>0.2</v>
      </c>
      <c r="BD20" s="20"/>
      <c r="BE20" s="20"/>
      <c r="BF20" s="20"/>
      <c r="BG20" s="20"/>
      <c r="BH20" s="20"/>
      <c r="BI20" s="20">
        <v>1.318</v>
      </c>
      <c r="BJ20" s="20">
        <v>1.485</v>
      </c>
      <c r="BK20" s="20">
        <v>1.641</v>
      </c>
      <c r="BL20" s="20">
        <v>1.874</v>
      </c>
      <c r="BM20" s="20">
        <v>2.218</v>
      </c>
      <c r="BN20" s="20">
        <v>2.678</v>
      </c>
      <c r="BO20" s="20">
        <v>3.091</v>
      </c>
      <c r="BP20" s="20">
        <v>3.534</v>
      </c>
      <c r="BQ20" s="20">
        <v>4.181</v>
      </c>
      <c r="BR20" s="20">
        <v>5.072</v>
      </c>
    </row>
    <row r="21" spans="4:70" ht="19.5" customHeight="1" thickBot="1">
      <c r="D21" s="24">
        <v>0.61</v>
      </c>
      <c r="E21" s="25">
        <f t="shared" si="0"/>
        <v>1.3</v>
      </c>
      <c r="F21" s="20">
        <f>E21-F2</f>
        <v>0.97</v>
      </c>
      <c r="G21" s="20">
        <f>E21-G2</f>
        <v>1.01</v>
      </c>
      <c r="H21" s="20">
        <f>E21-H2</f>
        <v>1.05</v>
      </c>
      <c r="I21" s="20">
        <f>E21-I2</f>
        <v>1.1</v>
      </c>
      <c r="J21" s="20">
        <f>E21-J2</f>
        <v>1.1600000000000001</v>
      </c>
      <c r="L21" s="15" t="s">
        <v>202</v>
      </c>
      <c r="M21" s="16">
        <v>0.67081</v>
      </c>
      <c r="N21" s="16">
        <v>0.4619</v>
      </c>
      <c r="O21">
        <v>105.5</v>
      </c>
      <c r="W21" s="28" t="s">
        <v>108</v>
      </c>
      <c r="X21" s="39">
        <v>0.0991</v>
      </c>
      <c r="Y21" s="39">
        <v>0.0991</v>
      </c>
      <c r="Z21" s="32" t="s">
        <v>108</v>
      </c>
      <c r="AA21" s="40">
        <f>2*3.14*50*10^(-3)*0.359</f>
        <v>0.11272599999999999</v>
      </c>
      <c r="AB21" s="40">
        <f>2*3.14*50*10^(-3)*0.359</f>
        <v>0.11272599999999999</v>
      </c>
      <c r="AL21" s="20">
        <v>500</v>
      </c>
      <c r="AQ21" s="118">
        <v>100</v>
      </c>
      <c r="AR21"/>
      <c r="AS21" s="119"/>
      <c r="BC21" s="20">
        <v>0.15</v>
      </c>
      <c r="BD21" s="20"/>
      <c r="BE21" s="20"/>
      <c r="BF21" s="20"/>
      <c r="BG21" s="20"/>
      <c r="BH21" s="20"/>
      <c r="BI21" s="20">
        <v>1.428</v>
      </c>
      <c r="BJ21" s="20">
        <v>1.652</v>
      </c>
      <c r="BK21" s="20">
        <v>1.862</v>
      </c>
      <c r="BL21" s="20">
        <v>2.176</v>
      </c>
      <c r="BM21" s="20">
        <v>2.638</v>
      </c>
      <c r="BN21" s="20">
        <v>3.258</v>
      </c>
      <c r="BO21" s="20">
        <v>3.813</v>
      </c>
      <c r="BP21" s="20">
        <v>4.41</v>
      </c>
      <c r="BQ21" s="20">
        <v>5.279</v>
      </c>
      <c r="BR21" s="20">
        <v>6.479</v>
      </c>
    </row>
    <row r="22" spans="4:70" ht="19.5" customHeight="1" thickBot="1">
      <c r="D22" s="24">
        <v>0.62</v>
      </c>
      <c r="E22" s="25">
        <f t="shared" si="0"/>
        <v>1.27</v>
      </c>
      <c r="F22" s="20">
        <f>E22-F2</f>
        <v>0.94</v>
      </c>
      <c r="G22" s="20">
        <f>E22-G2</f>
        <v>0.98</v>
      </c>
      <c r="H22" s="20">
        <f>E22-H2</f>
        <v>1.02</v>
      </c>
      <c r="I22" s="20">
        <f>E22-I2</f>
        <v>1.07</v>
      </c>
      <c r="J22" s="20">
        <f>E22-J2</f>
        <v>1.13</v>
      </c>
      <c r="L22" s="15" t="s">
        <v>193</v>
      </c>
      <c r="M22" s="16">
        <v>0.8323</v>
      </c>
      <c r="N22" s="16">
        <v>0.4663</v>
      </c>
      <c r="O22">
        <v>83.69</v>
      </c>
      <c r="W22" s="28" t="s">
        <v>109</v>
      </c>
      <c r="X22" s="39">
        <v>0.0754</v>
      </c>
      <c r="Y22" s="39">
        <v>0.0754</v>
      </c>
      <c r="Z22" s="32" t="s">
        <v>109</v>
      </c>
      <c r="AA22" s="40">
        <f>2*3.14*50*10^(-3)*0.341</f>
        <v>0.107074</v>
      </c>
      <c r="AB22" s="40">
        <f>2*3.14*50*10^(-3)*0.341</f>
        <v>0.107074</v>
      </c>
      <c r="AL22" s="20">
        <v>600</v>
      </c>
      <c r="AQ22" s="118">
        <v>75</v>
      </c>
      <c r="AR22"/>
      <c r="AS22" s="119"/>
      <c r="BC22" s="20">
        <v>0.1</v>
      </c>
      <c r="BD22" s="20"/>
      <c r="BE22" s="20"/>
      <c r="BF22" s="20"/>
      <c r="BG22" s="20"/>
      <c r="BH22" s="20"/>
      <c r="BI22" s="20">
        <v>1.646</v>
      </c>
      <c r="BJ22" s="20">
        <v>1.984</v>
      </c>
      <c r="BK22" s="20">
        <v>2.301</v>
      </c>
      <c r="BL22" s="20">
        <v>2.776</v>
      </c>
      <c r="BM22" s="20">
        <v>3.473</v>
      </c>
      <c r="BN22" s="20">
        <v>4.409</v>
      </c>
      <c r="BO22" s="20">
        <v>5.247</v>
      </c>
      <c r="BP22" s="20">
        <v>6.147</v>
      </c>
      <c r="BQ22" s="20">
        <v>7.46</v>
      </c>
      <c r="BR22" s="20">
        <v>9.27</v>
      </c>
    </row>
    <row r="23" spans="4:70" ht="19.5" customHeight="1" thickBot="1">
      <c r="D23" s="24">
        <v>0.63</v>
      </c>
      <c r="E23" s="25">
        <f t="shared" si="0"/>
        <v>1.23</v>
      </c>
      <c r="F23" s="20">
        <f>E23-F2</f>
        <v>0.8999999999999999</v>
      </c>
      <c r="G23" s="20">
        <f>E23-G2</f>
        <v>0.94</v>
      </c>
      <c r="H23" s="20">
        <f>E23-H2</f>
        <v>0.98</v>
      </c>
      <c r="I23" s="20">
        <f>E23-I2</f>
        <v>1.03</v>
      </c>
      <c r="J23" s="20">
        <f>E23-J2</f>
        <v>1.0899999999999999</v>
      </c>
      <c r="L23" s="15" t="s">
        <v>194</v>
      </c>
      <c r="M23" s="16">
        <v>0.01863</v>
      </c>
      <c r="N23" s="16">
        <v>0.4607</v>
      </c>
      <c r="O23">
        <v>66.37</v>
      </c>
      <c r="W23" s="28" t="s">
        <v>110</v>
      </c>
      <c r="X23" s="39">
        <v>0.0601</v>
      </c>
      <c r="Y23" s="39">
        <v>0.0601</v>
      </c>
      <c r="Z23" s="32" t="s">
        <v>110</v>
      </c>
      <c r="AA23" s="40">
        <f>2*3.14*50*10^(-3)*0.33</f>
        <v>0.10362</v>
      </c>
      <c r="AB23" s="40">
        <f>2*3.14*50*10^(-3)*0.33</f>
        <v>0.10362</v>
      </c>
      <c r="AL23" s="20">
        <v>750</v>
      </c>
      <c r="AQ23" s="118">
        <v>60</v>
      </c>
      <c r="AR23"/>
      <c r="AS23" s="119"/>
      <c r="BC23" s="20">
        <v>0.05</v>
      </c>
      <c r="BD23" s="20"/>
      <c r="BE23" s="20"/>
      <c r="BF23" s="20"/>
      <c r="BG23" s="20"/>
      <c r="BH23" s="20"/>
      <c r="BI23" s="20">
        <v>2.296</v>
      </c>
      <c r="BJ23" s="20">
        <v>2.976</v>
      </c>
      <c r="BK23" s="20">
        <v>3.612</v>
      </c>
      <c r="BL23" s="20">
        <v>4.565</v>
      </c>
      <c r="BM23" s="20">
        <v>5.966</v>
      </c>
      <c r="BN23" s="20">
        <v>7.843</v>
      </c>
      <c r="BO23" s="20">
        <v>9.526</v>
      </c>
      <c r="BP23" s="20">
        <v>11.333</v>
      </c>
      <c r="BQ23" s="20">
        <v>13.969</v>
      </c>
      <c r="BR23" s="20">
        <v>17.603</v>
      </c>
    </row>
    <row r="24" spans="4:45" ht="19.5" customHeight="1" thickBot="1">
      <c r="D24" s="24">
        <v>0.64</v>
      </c>
      <c r="E24" s="25">
        <f t="shared" si="0"/>
        <v>1.2</v>
      </c>
      <c r="F24" s="20">
        <f>E24-F2</f>
        <v>0.8699999999999999</v>
      </c>
      <c r="G24" s="20">
        <f>E24-G2</f>
        <v>0.9099999999999999</v>
      </c>
      <c r="H24" s="20">
        <f>E24-H2</f>
        <v>0.95</v>
      </c>
      <c r="I24" s="20">
        <f>E24-I2</f>
        <v>1</v>
      </c>
      <c r="J24" s="20">
        <f>E24-J2</f>
        <v>1.06</v>
      </c>
      <c r="L24" s="15" t="s">
        <v>195</v>
      </c>
      <c r="M24" s="16">
        <v>1.26708</v>
      </c>
      <c r="N24" s="16">
        <v>0.4644</v>
      </c>
      <c r="O24">
        <v>52.63</v>
      </c>
      <c r="W24" s="28" t="s">
        <v>111</v>
      </c>
      <c r="X24" s="39">
        <v>0.047</v>
      </c>
      <c r="Y24" s="39">
        <v>0.047</v>
      </c>
      <c r="Z24" s="32" t="s">
        <v>111</v>
      </c>
      <c r="AA24" s="40">
        <f>2*3.14*50*10^(-3)*0.316</f>
        <v>0.099224</v>
      </c>
      <c r="AB24" s="40">
        <f>2*3.14*50*10^(-3)*0.316</f>
        <v>0.099224</v>
      </c>
      <c r="AL24" s="20">
        <v>1000</v>
      </c>
      <c r="AQ24" s="118">
        <v>50</v>
      </c>
      <c r="AR24"/>
      <c r="AS24" s="119"/>
    </row>
    <row r="25" spans="4:45" ht="19.5" customHeight="1">
      <c r="D25" s="24">
        <v>0.65</v>
      </c>
      <c r="E25" s="25">
        <f t="shared" si="0"/>
        <v>1.17</v>
      </c>
      <c r="F25" s="20">
        <f>E25-F2</f>
        <v>0.8399999999999999</v>
      </c>
      <c r="G25" s="20">
        <f>E25-G2</f>
        <v>0.8799999999999999</v>
      </c>
      <c r="H25" s="20">
        <f>E25-H2</f>
        <v>0.9199999999999999</v>
      </c>
      <c r="I25" s="20">
        <f>E25-I2</f>
        <v>0.97</v>
      </c>
      <c r="J25" s="20">
        <f>E25-J2</f>
        <v>1.0299999999999998</v>
      </c>
      <c r="L25" s="15" t="s">
        <v>196</v>
      </c>
      <c r="M25" s="16">
        <v>1.57453</v>
      </c>
      <c r="N25" s="16">
        <v>0.4619</v>
      </c>
      <c r="O25">
        <v>41.74</v>
      </c>
      <c r="X25" s="34"/>
      <c r="AL25" s="20">
        <v>1200</v>
      </c>
      <c r="AQ25" s="118">
        <v>40</v>
      </c>
      <c r="AR25"/>
      <c r="AS25" s="119"/>
    </row>
    <row r="26" spans="4:45" ht="19.5" customHeight="1">
      <c r="D26" s="24">
        <v>0.66</v>
      </c>
      <c r="E26" s="25">
        <f t="shared" si="0"/>
        <v>1.14</v>
      </c>
      <c r="F26" s="20">
        <f>E26-F2</f>
        <v>0.8099999999999998</v>
      </c>
      <c r="G26" s="20">
        <f>E26-G2</f>
        <v>0.8499999999999999</v>
      </c>
      <c r="H26" s="20">
        <f>E26-H2</f>
        <v>0.8899999999999999</v>
      </c>
      <c r="I26" s="20">
        <f>E26-I2</f>
        <v>0.94</v>
      </c>
      <c r="J26" s="20">
        <f>E26-J2</f>
        <v>0.9999999999999999</v>
      </c>
      <c r="L26" s="15" t="s">
        <v>197</v>
      </c>
      <c r="M26" s="16">
        <v>1.96273</v>
      </c>
      <c r="N26" s="16">
        <v>0.4682</v>
      </c>
      <c r="O26">
        <v>33.1</v>
      </c>
      <c r="AL26" s="20">
        <v>1250</v>
      </c>
      <c r="AQ26" s="118">
        <v>30</v>
      </c>
      <c r="AR26"/>
      <c r="AS26" s="119"/>
    </row>
    <row r="27" spans="4:45" ht="19.5" customHeight="1" thickBot="1">
      <c r="D27" s="24">
        <v>0.67</v>
      </c>
      <c r="E27" s="25">
        <f t="shared" si="0"/>
        <v>1.11</v>
      </c>
      <c r="F27" s="20">
        <f>E27-F2</f>
        <v>0.78</v>
      </c>
      <c r="G27" s="20">
        <f>E27-G2</f>
        <v>0.8200000000000001</v>
      </c>
      <c r="H27" s="20">
        <f>E27-H2</f>
        <v>0.8600000000000001</v>
      </c>
      <c r="I27" s="20">
        <f>E27-I2</f>
        <v>0.9100000000000001</v>
      </c>
      <c r="J27" s="20">
        <f>E27-J2</f>
        <v>0.9700000000000001</v>
      </c>
      <c r="L27" s="13" t="s">
        <v>198</v>
      </c>
      <c r="M27" s="14">
        <v>1.46584</v>
      </c>
      <c r="N27" s="14">
        <v>0.4706</v>
      </c>
      <c r="O27">
        <v>26.25</v>
      </c>
      <c r="W27" s="35"/>
      <c r="AL27" s="20">
        <v>1500</v>
      </c>
      <c r="AQ27" s="118">
        <v>25</v>
      </c>
      <c r="AR27"/>
      <c r="AS27" s="119"/>
    </row>
    <row r="28" spans="4:45" ht="19.5" customHeight="1">
      <c r="D28" s="24">
        <v>0.68</v>
      </c>
      <c r="E28" s="25">
        <f t="shared" si="0"/>
        <v>1.08</v>
      </c>
      <c r="F28" s="20">
        <f>E28-F2</f>
        <v>0.75</v>
      </c>
      <c r="G28" s="20">
        <f>E28-G2</f>
        <v>0.79</v>
      </c>
      <c r="H28" s="20">
        <f>E28-H2</f>
        <v>0.8300000000000001</v>
      </c>
      <c r="I28" s="20">
        <f>E28-I2</f>
        <v>0.8800000000000001</v>
      </c>
      <c r="J28" s="20">
        <f>E28-J2</f>
        <v>0.9400000000000001</v>
      </c>
      <c r="L28" s="339" t="s">
        <v>69</v>
      </c>
      <c r="M28" s="339"/>
      <c r="N28" s="339"/>
      <c r="W28" s="35"/>
      <c r="AL28" s="20">
        <v>2000</v>
      </c>
      <c r="AQ28" s="118">
        <v>20</v>
      </c>
      <c r="AR28"/>
      <c r="AS28" s="119"/>
    </row>
    <row r="29" spans="4:45" ht="19.5" customHeight="1">
      <c r="D29" s="24">
        <v>0.69</v>
      </c>
      <c r="E29" s="25">
        <f t="shared" si="0"/>
        <v>1.05</v>
      </c>
      <c r="F29" s="20">
        <f>E29-F2</f>
        <v>0.72</v>
      </c>
      <c r="G29" s="20">
        <f>E29-G2</f>
        <v>0.76</v>
      </c>
      <c r="H29" s="20">
        <f>E29-H2</f>
        <v>0.8</v>
      </c>
      <c r="I29" s="20">
        <f>E29-I2</f>
        <v>0.8500000000000001</v>
      </c>
      <c r="J29" s="20">
        <f>E29-J2</f>
        <v>0.91</v>
      </c>
      <c r="L29" s="340"/>
      <c r="M29" s="340"/>
      <c r="N29" s="340"/>
      <c r="W29" s="35"/>
      <c r="AL29" s="20">
        <v>3000</v>
      </c>
      <c r="AQ29" s="118">
        <v>15</v>
      </c>
      <c r="AR29"/>
      <c r="AS29" s="119"/>
    </row>
    <row r="30" spans="4:45" ht="19.5" customHeight="1">
      <c r="D30" s="24">
        <v>0.7</v>
      </c>
      <c r="E30" s="25">
        <f t="shared" si="0"/>
        <v>1.02</v>
      </c>
      <c r="F30" s="20">
        <f>E30-F2</f>
        <v>0.69</v>
      </c>
      <c r="G30" s="20">
        <f>E30-G2</f>
        <v>0.73</v>
      </c>
      <c r="H30" s="20">
        <f>E30-H2</f>
        <v>0.77</v>
      </c>
      <c r="I30" s="20">
        <f>E30-I2</f>
        <v>0.8200000000000001</v>
      </c>
      <c r="J30" s="20">
        <f>E30-J2</f>
        <v>0.88</v>
      </c>
      <c r="L30" s="340"/>
      <c r="M30" s="340"/>
      <c r="N30" s="340"/>
      <c r="AL30" s="20">
        <v>4000</v>
      </c>
      <c r="AQ30" s="118">
        <v>12.5</v>
      </c>
      <c r="AR30"/>
      <c r="AS30" s="119"/>
    </row>
    <row r="31" spans="4:45" ht="19.5" customHeight="1">
      <c r="D31" s="24">
        <v>0.71</v>
      </c>
      <c r="E31" s="25">
        <f t="shared" si="0"/>
        <v>0.99</v>
      </c>
      <c r="F31" s="20">
        <f>E31-F2</f>
        <v>0.6599999999999999</v>
      </c>
      <c r="G31" s="20">
        <f>E31-G2</f>
        <v>0.7</v>
      </c>
      <c r="H31" s="20">
        <f>E31-H2</f>
        <v>0.74</v>
      </c>
      <c r="I31" s="20">
        <f>E31-I2</f>
        <v>0.79</v>
      </c>
      <c r="J31" s="20">
        <f>E31-J2</f>
        <v>0.85</v>
      </c>
      <c r="AL31" s="20">
        <v>5000</v>
      </c>
      <c r="AQ31" s="118">
        <v>12</v>
      </c>
      <c r="AR31"/>
      <c r="AS31" s="119"/>
    </row>
    <row r="32" spans="4:45" ht="19.5" customHeight="1">
      <c r="D32" s="24">
        <v>0.72</v>
      </c>
      <c r="E32" s="25">
        <f t="shared" si="0"/>
        <v>0.96</v>
      </c>
      <c r="F32" s="20">
        <f>E32-F2</f>
        <v>0.6299999999999999</v>
      </c>
      <c r="G32" s="20">
        <f>E32-G2</f>
        <v>0.6699999999999999</v>
      </c>
      <c r="H32" s="20">
        <f>E32-H2</f>
        <v>0.71</v>
      </c>
      <c r="I32" s="20">
        <f>E32-I2</f>
        <v>0.76</v>
      </c>
      <c r="J32" s="20">
        <f>E32-J30</f>
        <v>0.07999999999999996</v>
      </c>
      <c r="AL32" s="20">
        <v>6000</v>
      </c>
      <c r="AQ32" s="118">
        <v>10</v>
      </c>
      <c r="AR32"/>
      <c r="AS32" s="119"/>
    </row>
    <row r="33" spans="4:45" ht="19.5" customHeight="1">
      <c r="D33" s="24">
        <v>0.73</v>
      </c>
      <c r="E33" s="25">
        <f t="shared" si="0"/>
        <v>0.94</v>
      </c>
      <c r="F33" s="20">
        <f>E33-F2</f>
        <v>0.6099999999999999</v>
      </c>
      <c r="G33" s="20">
        <f>E33-G2</f>
        <v>0.6499999999999999</v>
      </c>
      <c r="H33" s="20">
        <f>E33-H2</f>
        <v>0.69</v>
      </c>
      <c r="I33" s="20">
        <f>E33-I2</f>
        <v>0.74</v>
      </c>
      <c r="J33" s="20">
        <f>E33-J2</f>
        <v>0.7999999999999999</v>
      </c>
      <c r="AL33" s="20">
        <v>7500</v>
      </c>
      <c r="AQ33" s="118">
        <v>5</v>
      </c>
      <c r="AR33"/>
      <c r="AS33" s="119"/>
    </row>
    <row r="34" spans="4:10" ht="19.5" customHeight="1">
      <c r="D34" s="24">
        <v>0.74</v>
      </c>
      <c r="E34" s="25">
        <f t="shared" si="0"/>
        <v>0.91</v>
      </c>
      <c r="F34" s="20">
        <f>E34-F2</f>
        <v>0.5800000000000001</v>
      </c>
      <c r="G34" s="20">
        <f>E34-G2</f>
        <v>0.6200000000000001</v>
      </c>
      <c r="H34" s="20">
        <f>E34-H2</f>
        <v>0.66</v>
      </c>
      <c r="I34" s="20">
        <f>E34-I2</f>
        <v>0.71</v>
      </c>
      <c r="J34" s="20">
        <f>E34-J2</f>
        <v>0.77</v>
      </c>
    </row>
    <row r="35" spans="4:10" ht="19.5" customHeight="1">
      <c r="D35" s="24">
        <v>0.75</v>
      </c>
      <c r="E35" s="25">
        <f t="shared" si="0"/>
        <v>0.88</v>
      </c>
      <c r="F35" s="20">
        <f>E35-F2</f>
        <v>0.55</v>
      </c>
      <c r="G35" s="20">
        <f>E35-G2</f>
        <v>0.5900000000000001</v>
      </c>
      <c r="H35" s="20">
        <f>E35-H2</f>
        <v>0.63</v>
      </c>
      <c r="I35" s="20">
        <f>E35-I2</f>
        <v>0.6799999999999999</v>
      </c>
      <c r="J35" s="20">
        <f>E35-J2</f>
        <v>0.74</v>
      </c>
    </row>
    <row r="36" spans="4:10" ht="19.5" customHeight="1">
      <c r="D36" s="24">
        <v>0.76</v>
      </c>
      <c r="E36" s="25">
        <f t="shared" si="0"/>
        <v>0.86</v>
      </c>
      <c r="F36" s="20">
        <f>E36-F2</f>
        <v>0.53</v>
      </c>
      <c r="G36" s="20">
        <f>E36-G2</f>
        <v>0.5700000000000001</v>
      </c>
      <c r="H36" s="20">
        <f>E36-H2</f>
        <v>0.61</v>
      </c>
      <c r="I36" s="20">
        <f>E36-I2</f>
        <v>0.6599999999999999</v>
      </c>
      <c r="J36" s="20">
        <f>E36-J2</f>
        <v>0.72</v>
      </c>
    </row>
    <row r="37" spans="4:10" ht="19.5" customHeight="1">
      <c r="D37" s="24">
        <v>0.77</v>
      </c>
      <c r="E37" s="25">
        <f t="shared" si="0"/>
        <v>0.83</v>
      </c>
      <c r="F37" s="20">
        <f>E37-F2</f>
        <v>0.49999999999999994</v>
      </c>
      <c r="G37" s="20">
        <f>E37-G2</f>
        <v>0.54</v>
      </c>
      <c r="H37" s="20">
        <f>E37-H2</f>
        <v>0.58</v>
      </c>
      <c r="I37" s="20">
        <f>E37-I2</f>
        <v>0.6299999999999999</v>
      </c>
      <c r="J37" s="20">
        <f>E37-J2</f>
        <v>0.69</v>
      </c>
    </row>
    <row r="38" spans="4:10" ht="19.5" customHeight="1">
      <c r="D38" s="24">
        <v>0.78</v>
      </c>
      <c r="E38" s="25">
        <f t="shared" si="0"/>
        <v>0.8</v>
      </c>
      <c r="F38" s="20">
        <f>E38-F2</f>
        <v>0.47000000000000003</v>
      </c>
      <c r="G38" s="20">
        <f>E38-G2</f>
        <v>0.51</v>
      </c>
      <c r="H38" s="20">
        <f>E38-H2</f>
        <v>0.55</v>
      </c>
      <c r="I38" s="20">
        <f>E38-I2</f>
        <v>0.6000000000000001</v>
      </c>
      <c r="J38" s="20">
        <f>E38-J2</f>
        <v>0.66</v>
      </c>
    </row>
    <row r="39" spans="4:10" ht="19.5" customHeight="1">
      <c r="D39" s="24">
        <v>0.79</v>
      </c>
      <c r="E39" s="25">
        <f t="shared" si="0"/>
        <v>0.78</v>
      </c>
      <c r="F39" s="20">
        <f>E39-F2</f>
        <v>0.45</v>
      </c>
      <c r="G39" s="20">
        <f>E39-G2</f>
        <v>0.49000000000000005</v>
      </c>
      <c r="H39" s="20">
        <f>E39-H2</f>
        <v>0.53</v>
      </c>
      <c r="I39" s="20">
        <f>E39-I2</f>
        <v>0.5800000000000001</v>
      </c>
      <c r="J39" s="20">
        <f>E39-J2</f>
        <v>0.64</v>
      </c>
    </row>
    <row r="40" spans="4:10" ht="19.5" customHeight="1">
      <c r="D40" s="24">
        <v>0.8</v>
      </c>
      <c r="E40" s="25">
        <f t="shared" si="0"/>
        <v>0.75</v>
      </c>
      <c r="F40" s="20">
        <f>E40-F2</f>
        <v>0.42</v>
      </c>
      <c r="G40" s="20">
        <f>E40-G2</f>
        <v>0.46</v>
      </c>
      <c r="H40" s="20">
        <f>E40-H2</f>
        <v>0.5</v>
      </c>
      <c r="I40" s="20">
        <f>E40-I2</f>
        <v>0.55</v>
      </c>
      <c r="J40" s="20">
        <f>E40-J2</f>
        <v>0.61</v>
      </c>
    </row>
    <row r="41" spans="4:10" ht="19.5" customHeight="1">
      <c r="D41" s="24">
        <v>0.81</v>
      </c>
      <c r="E41" s="25">
        <f t="shared" si="0"/>
        <v>0.72</v>
      </c>
      <c r="F41" s="20">
        <f>E41-F2</f>
        <v>0.38999999999999996</v>
      </c>
      <c r="G41" s="20">
        <f>E41-G2</f>
        <v>0.43</v>
      </c>
      <c r="H41" s="20">
        <f>E41-H2</f>
        <v>0.47</v>
      </c>
      <c r="I41" s="20">
        <f>E41-I2</f>
        <v>0.52</v>
      </c>
      <c r="J41" s="20">
        <f>E41-J2</f>
        <v>0.58</v>
      </c>
    </row>
    <row r="42" spans="4:10" ht="19.5" customHeight="1">
      <c r="D42" s="24">
        <v>0.82</v>
      </c>
      <c r="E42" s="25">
        <f t="shared" si="0"/>
        <v>0.7</v>
      </c>
      <c r="F42" s="20">
        <f>E42-F2</f>
        <v>0.36999999999999994</v>
      </c>
      <c r="G42" s="20">
        <f>E42-G2</f>
        <v>0.41</v>
      </c>
      <c r="H42" s="20">
        <f>E42-H2</f>
        <v>0.44999999999999996</v>
      </c>
      <c r="I42" s="20">
        <f>E42-I2</f>
        <v>0.49999999999999994</v>
      </c>
      <c r="J42" s="20">
        <f>E42-J2</f>
        <v>0.5599999999999999</v>
      </c>
    </row>
    <row r="43" spans="4:10" ht="19.5" customHeight="1">
      <c r="D43" s="24">
        <v>0.83</v>
      </c>
      <c r="E43" s="25">
        <f t="shared" si="0"/>
        <v>0.67</v>
      </c>
      <c r="F43" s="20">
        <f>E43-F2</f>
        <v>0.34</v>
      </c>
      <c r="G43" s="20">
        <f>E43-G2</f>
        <v>0.38000000000000006</v>
      </c>
      <c r="H43" s="20">
        <f>E43-H2</f>
        <v>0.42000000000000004</v>
      </c>
      <c r="I43" s="20">
        <f>E43-I2</f>
        <v>0.47000000000000003</v>
      </c>
      <c r="J43" s="20">
        <f>E43-J2</f>
        <v>0.53</v>
      </c>
    </row>
    <row r="44" spans="4:10" ht="19.5" customHeight="1">
      <c r="D44" s="24">
        <v>0.84</v>
      </c>
      <c r="E44" s="25">
        <f t="shared" si="0"/>
        <v>0.65</v>
      </c>
      <c r="F44" s="20">
        <f>E44-F2</f>
        <v>0.32</v>
      </c>
      <c r="G44" s="20">
        <f>E44-G2</f>
        <v>0.36000000000000004</v>
      </c>
      <c r="H44" s="20">
        <f>E44-H2</f>
        <v>0.4</v>
      </c>
      <c r="I44" s="20">
        <f>E44-I2</f>
        <v>0.45</v>
      </c>
      <c r="J44" s="20">
        <f>E44-J2</f>
        <v>0.51</v>
      </c>
    </row>
    <row r="45" spans="4:10" ht="19.5" customHeight="1">
      <c r="D45" s="24">
        <v>0.85</v>
      </c>
      <c r="E45" s="25">
        <f t="shared" si="0"/>
        <v>0.62</v>
      </c>
      <c r="F45" s="20">
        <f>E45-F2</f>
        <v>0.29</v>
      </c>
      <c r="G45" s="20">
        <f>E45-G2</f>
        <v>0.33</v>
      </c>
      <c r="H45" s="20">
        <f>E45-H2</f>
        <v>0.37</v>
      </c>
      <c r="I45" s="20">
        <f>E45-I2</f>
        <v>0.42</v>
      </c>
      <c r="J45" s="20">
        <f>E45-J2</f>
        <v>0.48</v>
      </c>
    </row>
    <row r="46" spans="4:10" ht="19.5" customHeight="1">
      <c r="D46" s="24">
        <v>0.86</v>
      </c>
      <c r="E46" s="25">
        <f t="shared" si="0"/>
        <v>0.59</v>
      </c>
      <c r="F46" s="20">
        <f>E46-F2</f>
        <v>0.25999999999999995</v>
      </c>
      <c r="G46" s="20">
        <f>E46-G2</f>
        <v>0.3</v>
      </c>
      <c r="H46" s="20">
        <f>E46-H2</f>
        <v>0.33999999999999997</v>
      </c>
      <c r="I46" s="20">
        <f>E46-I2</f>
        <v>0.38999999999999996</v>
      </c>
      <c r="J46" s="20">
        <f>E46-J2</f>
        <v>0.44999999999999996</v>
      </c>
    </row>
    <row r="47" spans="4:10" ht="19.5" customHeight="1">
      <c r="D47" s="24">
        <v>0.87</v>
      </c>
      <c r="E47" s="25">
        <f t="shared" si="0"/>
        <v>0.57</v>
      </c>
      <c r="F47" s="20">
        <f>E47-F2</f>
        <v>0.23999999999999994</v>
      </c>
      <c r="G47" s="20">
        <f>E47-G2</f>
        <v>0.27999999999999997</v>
      </c>
      <c r="H47" s="20">
        <f>E47-H2</f>
        <v>0.31999999999999995</v>
      </c>
      <c r="I47" s="20">
        <f>E47-I2</f>
        <v>0.36999999999999994</v>
      </c>
      <c r="J47" s="20">
        <f>E47-J2</f>
        <v>0.42999999999999994</v>
      </c>
    </row>
    <row r="48" spans="4:10" ht="19.5" customHeight="1">
      <c r="D48" s="24">
        <v>0.88</v>
      </c>
      <c r="E48" s="25">
        <f t="shared" si="0"/>
        <v>0.54</v>
      </c>
      <c r="F48" s="20">
        <f>E48-F2</f>
        <v>0.21000000000000002</v>
      </c>
      <c r="G48" s="20">
        <f>E48-G2</f>
        <v>0.25000000000000006</v>
      </c>
      <c r="H48" s="20">
        <f>E48-H2</f>
        <v>0.29000000000000004</v>
      </c>
      <c r="I48" s="20">
        <f>E48-I2</f>
        <v>0.34</v>
      </c>
      <c r="J48" s="20">
        <f>E48-J2</f>
        <v>0.4</v>
      </c>
    </row>
    <row r="49" spans="4:10" ht="19.5" customHeight="1">
      <c r="D49" s="24">
        <v>0.89</v>
      </c>
      <c r="E49" s="25">
        <f t="shared" si="0"/>
        <v>0.51</v>
      </c>
      <c r="F49" s="20">
        <f>E49-F2</f>
        <v>0.18</v>
      </c>
      <c r="G49" s="20">
        <f>E49-G2</f>
        <v>0.22000000000000003</v>
      </c>
      <c r="H49" s="20">
        <f>E49-H2</f>
        <v>0.26</v>
      </c>
      <c r="I49" s="20">
        <f>E49-I2</f>
        <v>0.31</v>
      </c>
      <c r="J49" s="20">
        <f>E49-J2</f>
        <v>0.37</v>
      </c>
    </row>
    <row r="50" spans="4:10" ht="19.5" customHeight="1">
      <c r="D50" s="24">
        <v>0.9</v>
      </c>
      <c r="E50" s="25">
        <f t="shared" si="0"/>
        <v>0.48</v>
      </c>
      <c r="F50" s="20">
        <f>E50-F2</f>
        <v>0.14999999999999997</v>
      </c>
      <c r="G50" s="20">
        <f>E50-G2</f>
        <v>0.19</v>
      </c>
      <c r="H50" s="20">
        <f>E50-H2</f>
        <v>0.22999999999999998</v>
      </c>
      <c r="I50" s="20">
        <f>E50-I2</f>
        <v>0.27999999999999997</v>
      </c>
      <c r="J50" s="20">
        <f>E50-J2</f>
        <v>0.33999999999999997</v>
      </c>
    </row>
  </sheetData>
  <sheetProtection/>
  <mergeCells count="4">
    <mergeCell ref="AW1:AX1"/>
    <mergeCell ref="F3:J3"/>
    <mergeCell ref="L28:N30"/>
    <mergeCell ref="P5:R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Aslan Inan</cp:lastModifiedBy>
  <cp:lastPrinted>2012-06-02T20:02:36Z</cp:lastPrinted>
  <dcterms:created xsi:type="dcterms:W3CDTF">2012-03-31T12:20:47Z</dcterms:created>
  <dcterms:modified xsi:type="dcterms:W3CDTF">2017-12-11T19:56:50Z</dcterms:modified>
  <cp:category/>
  <cp:version/>
  <cp:contentType/>
  <cp:contentStatus/>
</cp:coreProperties>
</file>